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Import\Import\2026 DOC\03-24\"/>
    </mc:Choice>
  </mc:AlternateContent>
  <xr:revisionPtr revIDLastSave="0" documentId="8_{DE4CCB8F-82A8-4F9B-ACBA-C87CA44DEB00}" xr6:coauthVersionLast="47" xr6:coauthVersionMax="47" xr10:uidLastSave="{00000000-0000-0000-0000-000000000000}"/>
  <bookViews>
    <workbookView xWindow="-120" yWindow="-120" windowWidth="29040" windowHeight="15720" xr2:uid="{B4D51BD1-24C8-446E-9BFC-6626D2067D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35" i="1" l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36" i="1" s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216" i="1" s="1"/>
  <c r="G1196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91" i="1" s="1"/>
  <c r="G1165" i="1"/>
  <c r="G1164" i="1"/>
  <c r="F1163" i="1"/>
  <c r="G1163" i="1" s="1"/>
  <c r="G1162" i="1"/>
  <c r="G1161" i="1"/>
  <c r="G1160" i="1"/>
  <c r="F1159" i="1"/>
  <c r="G1159" i="1" s="1"/>
  <c r="G1158" i="1"/>
  <c r="G1157" i="1"/>
  <c r="G1156" i="1"/>
  <c r="G1155" i="1"/>
  <c r="F1155" i="1"/>
  <c r="G1154" i="1"/>
  <c r="G1153" i="1"/>
  <c r="G1152" i="1"/>
  <c r="F1151" i="1"/>
  <c r="G1151" i="1" s="1"/>
  <c r="G1166" i="1" s="1"/>
  <c r="G1150" i="1"/>
  <c r="G1149" i="1"/>
  <c r="G1148" i="1"/>
  <c r="G1147" i="1"/>
  <c r="G1146" i="1"/>
  <c r="G1141" i="1"/>
  <c r="G1140" i="1"/>
  <c r="G1139" i="1"/>
  <c r="G1138" i="1"/>
  <c r="G1137" i="1"/>
  <c r="G1136" i="1"/>
  <c r="G1135" i="1"/>
  <c r="G1134" i="1"/>
  <c r="G1133" i="1"/>
  <c r="G1132" i="1"/>
  <c r="G1131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26" i="1" s="1"/>
  <c r="G1111" i="1"/>
  <c r="G1107" i="1"/>
  <c r="G1088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69" i="1" s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50" i="1" s="1"/>
  <c r="G1028" i="1"/>
  <c r="G1027" i="1"/>
  <c r="F1026" i="1"/>
  <c r="G1026" i="1" s="1"/>
  <c r="G1025" i="1"/>
  <c r="G1024" i="1"/>
  <c r="G1023" i="1"/>
  <c r="F1022" i="1"/>
  <c r="G1022" i="1" s="1"/>
  <c r="G1021" i="1"/>
  <c r="G1020" i="1"/>
  <c r="G1019" i="1"/>
  <c r="F1018" i="1"/>
  <c r="G1018" i="1" s="1"/>
  <c r="G1017" i="1"/>
  <c r="G1016" i="1"/>
  <c r="G1015" i="1"/>
  <c r="F1014" i="1"/>
  <c r="G1014" i="1" s="1"/>
  <c r="G1013" i="1"/>
  <c r="G1012" i="1"/>
  <c r="G1011" i="1"/>
  <c r="G1010" i="1"/>
  <c r="G1009" i="1"/>
  <c r="F1002" i="1"/>
  <c r="G1002" i="1" s="1"/>
  <c r="G1004" i="1" s="1"/>
  <c r="E996" i="1"/>
  <c r="G996" i="1" s="1"/>
  <c r="E995" i="1"/>
  <c r="G995" i="1" s="1"/>
  <c r="E994" i="1"/>
  <c r="G994" i="1" s="1"/>
  <c r="G993" i="1"/>
  <c r="E992" i="1"/>
  <c r="G992" i="1" s="1"/>
  <c r="E991" i="1"/>
  <c r="G991" i="1" s="1"/>
  <c r="E990" i="1"/>
  <c r="G990" i="1" s="1"/>
  <c r="G989" i="1"/>
  <c r="E988" i="1"/>
  <c r="G988" i="1" s="1"/>
  <c r="E987" i="1"/>
  <c r="G987" i="1" s="1"/>
  <c r="E986" i="1"/>
  <c r="G986" i="1" s="1"/>
  <c r="G985" i="1"/>
  <c r="E984" i="1"/>
  <c r="G984" i="1" s="1"/>
  <c r="E983" i="1"/>
  <c r="G983" i="1" s="1"/>
  <c r="G982" i="1"/>
  <c r="E982" i="1"/>
  <c r="G981" i="1"/>
  <c r="E980" i="1"/>
  <c r="G980" i="1" s="1"/>
  <c r="E979" i="1"/>
  <c r="G979" i="1" s="1"/>
  <c r="E978" i="1"/>
  <c r="G978" i="1" s="1"/>
  <c r="G977" i="1"/>
  <c r="E971" i="1"/>
  <c r="G971" i="1" s="1"/>
  <c r="E970" i="1"/>
  <c r="G970" i="1" s="1"/>
  <c r="E969" i="1"/>
  <c r="G969" i="1" s="1"/>
  <c r="G968" i="1"/>
  <c r="E967" i="1"/>
  <c r="G967" i="1" s="1"/>
  <c r="E966" i="1"/>
  <c r="G966" i="1" s="1"/>
  <c r="E965" i="1"/>
  <c r="G965" i="1" s="1"/>
  <c r="G964" i="1"/>
  <c r="E963" i="1"/>
  <c r="G963" i="1" s="1"/>
  <c r="E962" i="1"/>
  <c r="G962" i="1" s="1"/>
  <c r="E961" i="1"/>
  <c r="G961" i="1" s="1"/>
  <c r="G960" i="1"/>
  <c r="E959" i="1"/>
  <c r="G959" i="1" s="1"/>
  <c r="E958" i="1"/>
  <c r="G958" i="1" s="1"/>
  <c r="G957" i="1"/>
  <c r="E957" i="1"/>
  <c r="G956" i="1"/>
  <c r="E955" i="1"/>
  <c r="G955" i="1" s="1"/>
  <c r="E954" i="1"/>
  <c r="G954" i="1" s="1"/>
  <c r="E953" i="1"/>
  <c r="G953" i="1" s="1"/>
  <c r="G952" i="1"/>
  <c r="G946" i="1"/>
  <c r="G947" i="1" s="1"/>
  <c r="F940" i="1"/>
  <c r="G940" i="1" s="1"/>
  <c r="F939" i="1"/>
  <c r="G939" i="1" s="1"/>
  <c r="F938" i="1"/>
  <c r="G938" i="1" s="1"/>
  <c r="G941" i="1" s="1"/>
  <c r="G937" i="1"/>
  <c r="G936" i="1"/>
  <c r="G930" i="1"/>
  <c r="G929" i="1"/>
  <c r="G928" i="1"/>
  <c r="G931" i="1" s="1"/>
  <c r="G927" i="1"/>
  <c r="G926" i="1"/>
  <c r="G921" i="1"/>
  <c r="G920" i="1"/>
  <c r="G919" i="1"/>
  <c r="G918" i="1"/>
  <c r="G917" i="1"/>
  <c r="G916" i="1"/>
  <c r="F910" i="1"/>
  <c r="E910" i="1"/>
  <c r="G910" i="1" s="1"/>
  <c r="F909" i="1"/>
  <c r="G909" i="1" s="1"/>
  <c r="E909" i="1"/>
  <c r="G908" i="1"/>
  <c r="G907" i="1"/>
  <c r="F907" i="1"/>
  <c r="E907" i="1"/>
  <c r="F906" i="1"/>
  <c r="E906" i="1"/>
  <c r="G906" i="1" s="1"/>
  <c r="G905" i="1"/>
  <c r="F904" i="1"/>
  <c r="E904" i="1"/>
  <c r="G904" i="1" s="1"/>
  <c r="G903" i="1"/>
  <c r="F903" i="1"/>
  <c r="E903" i="1"/>
  <c r="G902" i="1"/>
  <c r="F901" i="1"/>
  <c r="E901" i="1"/>
  <c r="G901" i="1" s="1"/>
  <c r="F900" i="1"/>
  <c r="E900" i="1"/>
  <c r="G900" i="1" s="1"/>
  <c r="G899" i="1"/>
  <c r="G898" i="1"/>
  <c r="E898" i="1"/>
  <c r="E897" i="1"/>
  <c r="G897" i="1" s="1"/>
  <c r="G896" i="1"/>
  <c r="F890" i="1"/>
  <c r="E890" i="1"/>
  <c r="G890" i="1" s="1"/>
  <c r="F889" i="1"/>
  <c r="E889" i="1"/>
  <c r="G889" i="1" s="1"/>
  <c r="G888" i="1"/>
  <c r="G887" i="1"/>
  <c r="F887" i="1"/>
  <c r="E887" i="1"/>
  <c r="F886" i="1"/>
  <c r="E886" i="1"/>
  <c r="G886" i="1" s="1"/>
  <c r="G885" i="1"/>
  <c r="F884" i="1"/>
  <c r="E884" i="1"/>
  <c r="G884" i="1" s="1"/>
  <c r="F883" i="1"/>
  <c r="G883" i="1" s="1"/>
  <c r="E883" i="1"/>
  <c r="G882" i="1"/>
  <c r="G881" i="1"/>
  <c r="F881" i="1"/>
  <c r="E881" i="1"/>
  <c r="F880" i="1"/>
  <c r="E880" i="1"/>
  <c r="G880" i="1" s="1"/>
  <c r="G879" i="1"/>
  <c r="E878" i="1"/>
  <c r="G878" i="1" s="1"/>
  <c r="G877" i="1"/>
  <c r="E877" i="1"/>
  <c r="G876" i="1"/>
  <c r="G870" i="1"/>
  <c r="G869" i="1"/>
  <c r="G868" i="1"/>
  <c r="G867" i="1"/>
  <c r="G866" i="1"/>
  <c r="G871" i="1" s="1"/>
  <c r="G860" i="1"/>
  <c r="G861" i="1" s="1"/>
  <c r="G854" i="1"/>
  <c r="G853" i="1"/>
  <c r="G852" i="1"/>
  <c r="G851" i="1"/>
  <c r="G850" i="1"/>
  <c r="G855" i="1" s="1"/>
  <c r="G844" i="1"/>
  <c r="G843" i="1"/>
  <c r="F842" i="1"/>
  <c r="G842" i="1" s="1"/>
  <c r="G841" i="1"/>
  <c r="G840" i="1"/>
  <c r="G839" i="1"/>
  <c r="G838" i="1"/>
  <c r="F838" i="1"/>
  <c r="G837" i="1"/>
  <c r="G836" i="1"/>
  <c r="G835" i="1"/>
  <c r="F834" i="1"/>
  <c r="G834" i="1" s="1"/>
  <c r="G833" i="1"/>
  <c r="G832" i="1"/>
  <c r="G831" i="1"/>
  <c r="G830" i="1"/>
  <c r="F830" i="1"/>
  <c r="G829" i="1"/>
  <c r="G828" i="1"/>
  <c r="G827" i="1"/>
  <c r="G826" i="1"/>
  <c r="G825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20" i="1" s="1"/>
  <c r="G803" i="1"/>
  <c r="G802" i="1"/>
  <c r="G801" i="1"/>
  <c r="G800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95" i="1" s="1"/>
  <c r="G774" i="1"/>
  <c r="G775" i="1" s="1"/>
  <c r="F768" i="1"/>
  <c r="G768" i="1" s="1"/>
  <c r="F767" i="1"/>
  <c r="G767" i="1" s="1"/>
  <c r="F766" i="1"/>
  <c r="G766" i="1" s="1"/>
  <c r="F765" i="1"/>
  <c r="G765" i="1" s="1"/>
  <c r="F764" i="1"/>
  <c r="G764" i="1" s="1"/>
  <c r="F758" i="1"/>
  <c r="G758" i="1" s="1"/>
  <c r="F757" i="1"/>
  <c r="G757" i="1" s="1"/>
  <c r="F756" i="1"/>
  <c r="G756" i="1" s="1"/>
  <c r="G755" i="1"/>
  <c r="F754" i="1"/>
  <c r="G754" i="1" s="1"/>
  <c r="F753" i="1"/>
  <c r="G753" i="1" s="1"/>
  <c r="G752" i="1"/>
  <c r="F752" i="1"/>
  <c r="G751" i="1"/>
  <c r="F750" i="1"/>
  <c r="G750" i="1" s="1"/>
  <c r="F749" i="1"/>
  <c r="G749" i="1" s="1"/>
  <c r="F748" i="1"/>
  <c r="G748" i="1" s="1"/>
  <c r="G747" i="1"/>
  <c r="F746" i="1"/>
  <c r="G746" i="1" s="1"/>
  <c r="G745" i="1"/>
  <c r="F745" i="1"/>
  <c r="F744" i="1"/>
  <c r="G744" i="1" s="1"/>
  <c r="G743" i="1"/>
  <c r="F742" i="1"/>
  <c r="G742" i="1" s="1"/>
  <c r="F741" i="1"/>
  <c r="G741" i="1" s="1"/>
  <c r="F740" i="1"/>
  <c r="G740" i="1" s="1"/>
  <c r="G739" i="1"/>
  <c r="G734" i="1"/>
  <c r="G733" i="1"/>
  <c r="G732" i="1"/>
  <c r="G731" i="1"/>
  <c r="G730" i="1"/>
  <c r="G729" i="1"/>
  <c r="G728" i="1"/>
  <c r="G727" i="1"/>
  <c r="G726" i="1"/>
  <c r="G725" i="1"/>
  <c r="G724" i="1"/>
  <c r="G718" i="1"/>
  <c r="G719" i="1" s="1"/>
  <c r="G717" i="1"/>
  <c r="G716" i="1"/>
  <c r="G715" i="1"/>
  <c r="G714" i="1"/>
  <c r="G708" i="1"/>
  <c r="G709" i="1" s="1"/>
  <c r="G702" i="1"/>
  <c r="G703" i="1" s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97" i="1" s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72" i="1" s="1"/>
  <c r="G659" i="1"/>
  <c r="G658" i="1"/>
  <c r="G657" i="1"/>
  <c r="G656" i="1"/>
  <c r="G655" i="1"/>
  <c r="G654" i="1"/>
  <c r="G653" i="1"/>
  <c r="G652" i="1"/>
  <c r="G646" i="1"/>
  <c r="G645" i="1"/>
  <c r="G644" i="1"/>
  <c r="G647" i="1" s="1"/>
  <c r="G643" i="1"/>
  <c r="G642" i="1"/>
  <c r="G636" i="1"/>
  <c r="G637" i="1" s="1"/>
  <c r="G630" i="1"/>
  <c r="G629" i="1"/>
  <c r="G628" i="1"/>
  <c r="G627" i="1"/>
  <c r="G631" i="1" s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22" i="1" s="1"/>
  <c r="G603" i="1"/>
  <c r="G602" i="1"/>
  <c r="G596" i="1"/>
  <c r="G595" i="1"/>
  <c r="G594" i="1"/>
  <c r="G593" i="1"/>
  <c r="G592" i="1"/>
  <c r="G597" i="1" s="1"/>
  <c r="G586" i="1"/>
  <c r="G585" i="1"/>
  <c r="G584" i="1"/>
  <c r="G587" i="1" s="1"/>
  <c r="G583" i="1"/>
  <c r="G582" i="1"/>
  <c r="G576" i="1"/>
  <c r="G575" i="1"/>
  <c r="G574" i="1"/>
  <c r="G573" i="1"/>
  <c r="G572" i="1"/>
  <c r="G577" i="1" s="1"/>
  <c r="F566" i="1"/>
  <c r="G566" i="1" s="1"/>
  <c r="F565" i="1"/>
  <c r="G565" i="1" s="1"/>
  <c r="F564" i="1"/>
  <c r="G564" i="1" s="1"/>
  <c r="F563" i="1"/>
  <c r="G563" i="1" s="1"/>
  <c r="F562" i="1"/>
  <c r="G562" i="1" s="1"/>
  <c r="G567" i="1" s="1"/>
  <c r="F556" i="1"/>
  <c r="G556" i="1" s="1"/>
  <c r="F555" i="1"/>
  <c r="G555" i="1" s="1"/>
  <c r="F554" i="1"/>
  <c r="G554" i="1" s="1"/>
  <c r="G557" i="1" s="1"/>
  <c r="G553" i="1"/>
  <c r="G552" i="1"/>
  <c r="G546" i="1"/>
  <c r="E545" i="1"/>
  <c r="G545" i="1" s="1"/>
  <c r="E544" i="1"/>
  <c r="G544" i="1" s="1"/>
  <c r="G543" i="1"/>
  <c r="G542" i="1"/>
  <c r="E541" i="1"/>
  <c r="G541" i="1" s="1"/>
  <c r="E540" i="1"/>
  <c r="G540" i="1" s="1"/>
  <c r="G539" i="1"/>
  <c r="G538" i="1"/>
  <c r="E537" i="1"/>
  <c r="G537" i="1" s="1"/>
  <c r="E536" i="1"/>
  <c r="G536" i="1" s="1"/>
  <c r="G535" i="1"/>
  <c r="G534" i="1"/>
  <c r="E533" i="1"/>
  <c r="G533" i="1" s="1"/>
  <c r="E532" i="1"/>
  <c r="G532" i="1" s="1"/>
  <c r="G531" i="1"/>
  <c r="G530" i="1"/>
  <c r="E529" i="1"/>
  <c r="G529" i="1" s="1"/>
  <c r="G528" i="1"/>
  <c r="G527" i="1"/>
  <c r="G521" i="1"/>
  <c r="E520" i="1"/>
  <c r="G520" i="1" s="1"/>
  <c r="E519" i="1"/>
  <c r="G519" i="1" s="1"/>
  <c r="G518" i="1"/>
  <c r="G517" i="1"/>
  <c r="E516" i="1"/>
  <c r="G516" i="1" s="1"/>
  <c r="E515" i="1"/>
  <c r="G515" i="1" s="1"/>
  <c r="G514" i="1"/>
  <c r="G513" i="1"/>
  <c r="E512" i="1"/>
  <c r="G512" i="1" s="1"/>
  <c r="E511" i="1"/>
  <c r="G511" i="1" s="1"/>
  <c r="G510" i="1"/>
  <c r="G509" i="1"/>
  <c r="E508" i="1"/>
  <c r="G508" i="1" s="1"/>
  <c r="E507" i="1"/>
  <c r="G507" i="1" s="1"/>
  <c r="G506" i="1"/>
  <c r="G505" i="1"/>
  <c r="E504" i="1"/>
  <c r="G504" i="1" s="1"/>
  <c r="G503" i="1"/>
  <c r="G502" i="1"/>
  <c r="F496" i="1"/>
  <c r="E496" i="1"/>
  <c r="G496" i="1" s="1"/>
  <c r="F495" i="1"/>
  <c r="E495" i="1"/>
  <c r="G495" i="1" s="1"/>
  <c r="F494" i="1"/>
  <c r="E494" i="1"/>
  <c r="G494" i="1" s="1"/>
  <c r="F493" i="1"/>
  <c r="E493" i="1"/>
  <c r="G493" i="1" s="1"/>
  <c r="F492" i="1"/>
  <c r="E492" i="1"/>
  <c r="G492" i="1" s="1"/>
  <c r="F491" i="1"/>
  <c r="E491" i="1"/>
  <c r="G491" i="1" s="1"/>
  <c r="F490" i="1"/>
  <c r="E490" i="1"/>
  <c r="G490" i="1" s="1"/>
  <c r="F489" i="1"/>
  <c r="E489" i="1"/>
  <c r="G489" i="1" s="1"/>
  <c r="F488" i="1"/>
  <c r="E488" i="1"/>
  <c r="G488" i="1" s="1"/>
  <c r="F487" i="1"/>
  <c r="E487" i="1"/>
  <c r="G487" i="1" s="1"/>
  <c r="F486" i="1"/>
  <c r="E486" i="1"/>
  <c r="G486" i="1" s="1"/>
  <c r="F485" i="1"/>
  <c r="E485" i="1"/>
  <c r="G485" i="1" s="1"/>
  <c r="F484" i="1"/>
  <c r="E484" i="1"/>
  <c r="G484" i="1" s="1"/>
  <c r="F483" i="1"/>
  <c r="E483" i="1"/>
  <c r="G483" i="1" s="1"/>
  <c r="F482" i="1"/>
  <c r="E482" i="1"/>
  <c r="G482" i="1" s="1"/>
  <c r="G476" i="1"/>
  <c r="E475" i="1"/>
  <c r="G475" i="1" s="1"/>
  <c r="E474" i="1"/>
  <c r="G474" i="1" s="1"/>
  <c r="G473" i="1"/>
  <c r="G472" i="1"/>
  <c r="E471" i="1"/>
  <c r="G471" i="1" s="1"/>
  <c r="E470" i="1"/>
  <c r="G470" i="1" s="1"/>
  <c r="G469" i="1"/>
  <c r="G468" i="1"/>
  <c r="E467" i="1"/>
  <c r="G467" i="1" s="1"/>
  <c r="E466" i="1"/>
  <c r="G466" i="1" s="1"/>
  <c r="G465" i="1"/>
  <c r="G464" i="1"/>
  <c r="E463" i="1"/>
  <c r="G463" i="1" s="1"/>
  <c r="E462" i="1"/>
  <c r="G462" i="1" s="1"/>
  <c r="G461" i="1"/>
  <c r="G460" i="1"/>
  <c r="E459" i="1"/>
  <c r="G459" i="1" s="1"/>
  <c r="G458" i="1"/>
  <c r="G457" i="1"/>
  <c r="G451" i="1"/>
  <c r="F450" i="1"/>
  <c r="E450" i="1"/>
  <c r="G450" i="1" s="1"/>
  <c r="G449" i="1"/>
  <c r="G448" i="1"/>
  <c r="F447" i="1"/>
  <c r="E447" i="1"/>
  <c r="G447" i="1" s="1"/>
  <c r="G446" i="1"/>
  <c r="G445" i="1"/>
  <c r="F444" i="1"/>
  <c r="E444" i="1"/>
  <c r="G444" i="1" s="1"/>
  <c r="G443" i="1"/>
  <c r="G442" i="1"/>
  <c r="G441" i="1"/>
  <c r="F441" i="1"/>
  <c r="E441" i="1"/>
  <c r="G440" i="1"/>
  <c r="G439" i="1"/>
  <c r="F438" i="1"/>
  <c r="E438" i="1"/>
  <c r="G438" i="1" s="1"/>
  <c r="G437" i="1"/>
  <c r="G431" i="1"/>
  <c r="F430" i="1"/>
  <c r="G430" i="1" s="1"/>
  <c r="E430" i="1"/>
  <c r="G429" i="1"/>
  <c r="G428" i="1"/>
  <c r="F427" i="1"/>
  <c r="E427" i="1"/>
  <c r="G427" i="1" s="1"/>
  <c r="G426" i="1"/>
  <c r="G425" i="1"/>
  <c r="F424" i="1"/>
  <c r="E424" i="1"/>
  <c r="G424" i="1" s="1"/>
  <c r="G423" i="1"/>
  <c r="G422" i="1"/>
  <c r="F421" i="1"/>
  <c r="E421" i="1"/>
  <c r="G421" i="1" s="1"/>
  <c r="G420" i="1"/>
  <c r="G419" i="1"/>
  <c r="F418" i="1"/>
  <c r="E418" i="1"/>
  <c r="G418" i="1" s="1"/>
  <c r="G417" i="1"/>
  <c r="G432" i="1" s="1"/>
  <c r="G411" i="1"/>
  <c r="G412" i="1" s="1"/>
  <c r="G405" i="1"/>
  <c r="G404" i="1"/>
  <c r="G406" i="1" s="1"/>
  <c r="G398" i="1"/>
  <c r="G399" i="1" s="1"/>
  <c r="G392" i="1"/>
  <c r="G391" i="1"/>
  <c r="G390" i="1"/>
  <c r="G389" i="1"/>
  <c r="G388" i="1"/>
  <c r="G393" i="1" s="1"/>
  <c r="G382" i="1"/>
  <c r="G381" i="1"/>
  <c r="G380" i="1"/>
  <c r="G383" i="1" s="1"/>
  <c r="G379" i="1"/>
  <c r="G378" i="1"/>
  <c r="G372" i="1"/>
  <c r="G371" i="1"/>
  <c r="G370" i="1"/>
  <c r="G369" i="1"/>
  <c r="G368" i="1"/>
  <c r="G373" i="1" s="1"/>
  <c r="G362" i="1"/>
  <c r="F361" i="1"/>
  <c r="G361" i="1" s="1"/>
  <c r="E361" i="1"/>
  <c r="G360" i="1"/>
  <c r="G359" i="1"/>
  <c r="F358" i="1"/>
  <c r="E358" i="1"/>
  <c r="G358" i="1" s="1"/>
  <c r="G357" i="1"/>
  <c r="G356" i="1"/>
  <c r="F355" i="1"/>
  <c r="E355" i="1"/>
  <c r="G355" i="1" s="1"/>
  <c r="G354" i="1"/>
  <c r="G353" i="1"/>
  <c r="F352" i="1"/>
  <c r="E352" i="1"/>
  <c r="G352" i="1" s="1"/>
  <c r="G351" i="1"/>
  <c r="G350" i="1"/>
  <c r="F349" i="1"/>
  <c r="E349" i="1"/>
  <c r="G349" i="1" s="1"/>
  <c r="G348" i="1"/>
  <c r="G363" i="1" s="1"/>
  <c r="F342" i="1"/>
  <c r="G342" i="1" s="1"/>
  <c r="F341" i="1"/>
  <c r="G341" i="1" s="1"/>
  <c r="F340" i="1"/>
  <c r="G340" i="1" s="1"/>
  <c r="F339" i="1"/>
  <c r="G339" i="1" s="1"/>
  <c r="F338" i="1"/>
  <c r="G338" i="1" s="1"/>
  <c r="G332" i="1"/>
  <c r="F332" i="1"/>
  <c r="F331" i="1"/>
  <c r="G331" i="1" s="1"/>
  <c r="F330" i="1"/>
  <c r="G330" i="1" s="1"/>
  <c r="G329" i="1"/>
  <c r="F328" i="1"/>
  <c r="G328" i="1" s="1"/>
  <c r="F327" i="1"/>
  <c r="G327" i="1" s="1"/>
  <c r="G326" i="1"/>
  <c r="F326" i="1"/>
  <c r="G325" i="1"/>
  <c r="F324" i="1"/>
  <c r="G324" i="1" s="1"/>
  <c r="F323" i="1"/>
  <c r="G323" i="1" s="1"/>
  <c r="F322" i="1"/>
  <c r="G322" i="1" s="1"/>
  <c r="G321" i="1"/>
  <c r="F320" i="1"/>
  <c r="G320" i="1" s="1"/>
  <c r="G319" i="1"/>
  <c r="F319" i="1"/>
  <c r="G318" i="1"/>
  <c r="F318" i="1"/>
  <c r="G317" i="1"/>
  <c r="F316" i="1"/>
  <c r="G316" i="1" s="1"/>
  <c r="F315" i="1"/>
  <c r="G315" i="1" s="1"/>
  <c r="F314" i="1"/>
  <c r="G314" i="1" s="1"/>
  <c r="G313" i="1"/>
  <c r="G307" i="1"/>
  <c r="F307" i="1"/>
  <c r="F306" i="1"/>
  <c r="G306" i="1" s="1"/>
  <c r="F305" i="1"/>
  <c r="G305" i="1" s="1"/>
  <c r="F304" i="1"/>
  <c r="G304" i="1" s="1"/>
  <c r="F303" i="1"/>
  <c r="G303" i="1" s="1"/>
  <c r="G308" i="1" s="1"/>
  <c r="G297" i="1"/>
  <c r="G298" i="1" s="1"/>
  <c r="G291" i="1"/>
  <c r="E291" i="1"/>
  <c r="E290" i="1"/>
  <c r="G290" i="1" s="1"/>
  <c r="E289" i="1"/>
  <c r="G289" i="1" s="1"/>
  <c r="G288" i="1"/>
  <c r="E287" i="1"/>
  <c r="G287" i="1" s="1"/>
  <c r="E286" i="1"/>
  <c r="G286" i="1" s="1"/>
  <c r="G285" i="1"/>
  <c r="E285" i="1"/>
  <c r="G284" i="1"/>
  <c r="E283" i="1"/>
  <c r="G283" i="1" s="1"/>
  <c r="E282" i="1"/>
  <c r="G282" i="1" s="1"/>
  <c r="E281" i="1"/>
  <c r="G281" i="1" s="1"/>
  <c r="G280" i="1"/>
  <c r="E279" i="1"/>
  <c r="G279" i="1" s="1"/>
  <c r="G278" i="1"/>
  <c r="E278" i="1"/>
  <c r="E277" i="1"/>
  <c r="G277" i="1" s="1"/>
  <c r="G276" i="1"/>
  <c r="E275" i="1"/>
  <c r="G275" i="1" s="1"/>
  <c r="E274" i="1"/>
  <c r="G274" i="1" s="1"/>
  <c r="E273" i="1"/>
  <c r="G273" i="1" s="1"/>
  <c r="G272" i="1"/>
  <c r="E266" i="1"/>
  <c r="G266" i="1" s="1"/>
  <c r="E265" i="1"/>
  <c r="G265" i="1" s="1"/>
  <c r="E264" i="1"/>
  <c r="G264" i="1" s="1"/>
  <c r="E263" i="1"/>
  <c r="G263" i="1" s="1"/>
  <c r="E262" i="1"/>
  <c r="G262" i="1" s="1"/>
  <c r="G261" i="1"/>
  <c r="E261" i="1"/>
  <c r="E260" i="1"/>
  <c r="G260" i="1" s="1"/>
  <c r="E259" i="1"/>
  <c r="G259" i="1" s="1"/>
  <c r="E258" i="1"/>
  <c r="G258" i="1" s="1"/>
  <c r="E257" i="1"/>
  <c r="G257" i="1" s="1"/>
  <c r="E256" i="1"/>
  <c r="G256" i="1" s="1"/>
  <c r="G255" i="1"/>
  <c r="E255" i="1"/>
  <c r="E254" i="1"/>
  <c r="G254" i="1" s="1"/>
  <c r="E253" i="1"/>
  <c r="G253" i="1" s="1"/>
  <c r="E252" i="1"/>
  <c r="G252" i="1" s="1"/>
  <c r="E251" i="1"/>
  <c r="G251" i="1" s="1"/>
  <c r="E250" i="1"/>
  <c r="G250" i="1" s="1"/>
  <c r="G249" i="1"/>
  <c r="E249" i="1"/>
  <c r="E248" i="1"/>
  <c r="G248" i="1" s="1"/>
  <c r="E247" i="1"/>
  <c r="G247" i="1" s="1"/>
  <c r="F241" i="1"/>
  <c r="G241" i="1" s="1"/>
  <c r="F239" i="1"/>
  <c r="F240" i="1" s="1"/>
  <c r="G240" i="1" s="1"/>
  <c r="G238" i="1"/>
  <c r="F237" i="1"/>
  <c r="G237" i="1" s="1"/>
  <c r="F235" i="1"/>
  <c r="F236" i="1" s="1"/>
  <c r="G236" i="1" s="1"/>
  <c r="G234" i="1"/>
  <c r="F233" i="1"/>
  <c r="G233" i="1" s="1"/>
  <c r="F232" i="1"/>
  <c r="G232" i="1" s="1"/>
  <c r="F231" i="1"/>
  <c r="G231" i="1" s="1"/>
  <c r="G230" i="1"/>
  <c r="F229" i="1"/>
  <c r="G229" i="1" s="1"/>
  <c r="F227" i="1"/>
  <c r="F228" i="1" s="1"/>
  <c r="G228" i="1" s="1"/>
  <c r="G226" i="1"/>
  <c r="F225" i="1"/>
  <c r="F224" i="1" s="1"/>
  <c r="G224" i="1" s="1"/>
  <c r="G223" i="1"/>
  <c r="G222" i="1"/>
  <c r="F216" i="1"/>
  <c r="G216" i="1" s="1"/>
  <c r="F215" i="1"/>
  <c r="G215" i="1" s="1"/>
  <c r="F214" i="1"/>
  <c r="G214" i="1" s="1"/>
  <c r="G213" i="1"/>
  <c r="G212" i="1"/>
  <c r="F211" i="1"/>
  <c r="G211" i="1" s="1"/>
  <c r="F210" i="1"/>
  <c r="G210" i="1" s="1"/>
  <c r="F209" i="1"/>
  <c r="G209" i="1" s="1"/>
  <c r="G208" i="1"/>
  <c r="G207" i="1"/>
  <c r="F206" i="1"/>
  <c r="G206" i="1" s="1"/>
  <c r="G205" i="1"/>
  <c r="F205" i="1"/>
  <c r="F204" i="1"/>
  <c r="G204" i="1" s="1"/>
  <c r="G203" i="1"/>
  <c r="G202" i="1"/>
  <c r="F201" i="1"/>
  <c r="G201" i="1" s="1"/>
  <c r="F200" i="1"/>
  <c r="G200" i="1" s="1"/>
  <c r="F199" i="1"/>
  <c r="G199" i="1" s="1"/>
  <c r="G198" i="1"/>
  <c r="G197" i="1"/>
  <c r="F196" i="1"/>
  <c r="G196" i="1" s="1"/>
  <c r="F195" i="1"/>
  <c r="G195" i="1" s="1"/>
  <c r="F194" i="1"/>
  <c r="G194" i="1" s="1"/>
  <c r="G193" i="1"/>
  <c r="G192" i="1"/>
  <c r="G186" i="1"/>
  <c r="G187" i="1" s="1"/>
  <c r="F179" i="1"/>
  <c r="G179" i="1" s="1"/>
  <c r="G181" i="1" s="1"/>
  <c r="F173" i="1"/>
  <c r="G173" i="1" s="1"/>
  <c r="G174" i="1" s="1"/>
  <c r="G167" i="1"/>
  <c r="G166" i="1"/>
  <c r="G165" i="1"/>
  <c r="G164" i="1"/>
  <c r="G163" i="1"/>
  <c r="G168" i="1" s="1"/>
  <c r="F157" i="1"/>
  <c r="G157" i="1" s="1"/>
  <c r="F156" i="1"/>
  <c r="G156" i="1" s="1"/>
  <c r="F155" i="1"/>
  <c r="G155" i="1" s="1"/>
  <c r="F154" i="1"/>
  <c r="G154" i="1" s="1"/>
  <c r="F153" i="1"/>
  <c r="G153" i="1" s="1"/>
  <c r="G158" i="1" s="1"/>
  <c r="F147" i="1"/>
  <c r="G147" i="1" s="1"/>
  <c r="G146" i="1"/>
  <c r="F146" i="1"/>
  <c r="F145" i="1"/>
  <c r="G145" i="1" s="1"/>
  <c r="F144" i="1"/>
  <c r="G144" i="1" s="1"/>
  <c r="F143" i="1"/>
  <c r="G143" i="1" s="1"/>
  <c r="G137" i="1"/>
  <c r="G136" i="1"/>
  <c r="G135" i="1"/>
  <c r="G134" i="1"/>
  <c r="G138" i="1" s="1"/>
  <c r="G133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28" i="1" s="1"/>
  <c r="G102" i="1"/>
  <c r="G103" i="1" s="1"/>
  <c r="G101" i="1"/>
  <c r="G100" i="1"/>
  <c r="G99" i="1"/>
  <c r="G98" i="1"/>
  <c r="G92" i="1"/>
  <c r="G91" i="1"/>
  <c r="G90" i="1"/>
  <c r="G89" i="1"/>
  <c r="F88" i="1"/>
  <c r="G88" i="1" s="1"/>
  <c r="G93" i="1" s="1"/>
  <c r="G82" i="1"/>
  <c r="G81" i="1"/>
  <c r="G80" i="1"/>
  <c r="G79" i="1"/>
  <c r="F79" i="1"/>
  <c r="F78" i="1"/>
  <c r="G78" i="1" s="1"/>
  <c r="G83" i="1" s="1"/>
  <c r="F73" i="1"/>
  <c r="G73" i="1" s="1"/>
  <c r="F72" i="1"/>
  <c r="G72" i="1" s="1"/>
  <c r="F71" i="1"/>
  <c r="G71" i="1" s="1"/>
  <c r="F70" i="1"/>
  <c r="G70" i="1" s="1"/>
  <c r="F69" i="1"/>
  <c r="G69" i="1" s="1"/>
  <c r="G74" i="1" s="1"/>
  <c r="F64" i="1"/>
  <c r="G64" i="1" s="1"/>
  <c r="F63" i="1"/>
  <c r="G63" i="1" s="1"/>
  <c r="F62" i="1"/>
  <c r="G62" i="1" s="1"/>
  <c r="F61" i="1"/>
  <c r="G61" i="1" s="1"/>
  <c r="G60" i="1"/>
  <c r="G55" i="1"/>
  <c r="G54" i="1"/>
  <c r="G53" i="1"/>
  <c r="G52" i="1"/>
  <c r="F51" i="1"/>
  <c r="G51" i="1" s="1"/>
  <c r="G56" i="1" s="1"/>
  <c r="F46" i="1"/>
  <c r="G46" i="1" s="1"/>
  <c r="F45" i="1"/>
  <c r="G45" i="1" s="1"/>
  <c r="G47" i="1" s="1"/>
  <c r="F40" i="1"/>
  <c r="G40" i="1" s="1"/>
  <c r="F39" i="1"/>
  <c r="G39" i="1" s="1"/>
  <c r="F38" i="1"/>
  <c r="G38" i="1" s="1"/>
  <c r="F37" i="1"/>
  <c r="G37" i="1" s="1"/>
  <c r="F36" i="1"/>
  <c r="G36" i="1" s="1"/>
  <c r="F31" i="1"/>
  <c r="G31" i="1" s="1"/>
  <c r="F30" i="1"/>
  <c r="G30" i="1" s="1"/>
  <c r="F29" i="1"/>
  <c r="G29" i="1" s="1"/>
  <c r="F28" i="1"/>
  <c r="G28" i="1" s="1"/>
  <c r="F27" i="1"/>
  <c r="G27" i="1" s="1"/>
  <c r="G32" i="1" s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21" i="1" s="1"/>
  <c r="G7" i="1"/>
  <c r="G6" i="1"/>
  <c r="G1029" i="1" l="1"/>
  <c r="G997" i="1"/>
  <c r="G972" i="1"/>
  <c r="G891" i="1"/>
  <c r="G911" i="1"/>
  <c r="G845" i="1"/>
  <c r="G769" i="1"/>
  <c r="G759" i="1"/>
  <c r="G497" i="1"/>
  <c r="G547" i="1"/>
  <c r="G522" i="1"/>
  <c r="G477" i="1"/>
  <c r="G452" i="1"/>
  <c r="G292" i="1"/>
  <c r="G343" i="1"/>
  <c r="G333" i="1"/>
  <c r="G217" i="1"/>
  <c r="G267" i="1"/>
  <c r="G225" i="1"/>
  <c r="G242" i="1" s="1"/>
  <c r="G239" i="1"/>
  <c r="G227" i="1"/>
  <c r="G235" i="1"/>
  <c r="G148" i="1"/>
  <c r="G65" i="1"/>
  <c r="G41" i="1"/>
</calcChain>
</file>

<file path=xl/sharedStrings.xml><?xml version="1.0" encoding="utf-8"?>
<sst xmlns="http://schemas.openxmlformats.org/spreadsheetml/2006/main" count="1788" uniqueCount="131">
  <si>
    <t>Amendments to Resolution 835 of 2025</t>
  </si>
  <si>
    <t>#1 - Move vehicle funding from EMS to Fire and DPW - ES</t>
  </si>
  <si>
    <t>Budget</t>
  </si>
  <si>
    <t>Increase/</t>
  </si>
  <si>
    <t>Page</t>
  </si>
  <si>
    <t>Decrease</t>
  </si>
  <si>
    <t>Object Account</t>
  </si>
  <si>
    <t>From</t>
  </si>
  <si>
    <t>To</t>
  </si>
  <si>
    <t>Total</t>
  </si>
  <si>
    <t>EMS</t>
  </si>
  <si>
    <t>Fire</t>
  </si>
  <si>
    <t>DPW - ES</t>
  </si>
  <si>
    <t>Net change, 2026 Operating Budget</t>
  </si>
  <si>
    <t xml:space="preserve"> #2 Make up for 2026-27 vehicle funding through decreases to other adminsitrative amendments</t>
  </si>
  <si>
    <t>a. Increase funding for Bridge Maintenance in DOMI</t>
  </si>
  <si>
    <t>Mobility &amp; Infrastructure</t>
  </si>
  <si>
    <t>b. Add funding for DPW Roof Replacements &amp; Boiler and Roof Top Unit Replacements</t>
  </si>
  <si>
    <t>DPW Bureau of Facilities</t>
  </si>
  <si>
    <t>c. VEBA Restoration Amount</t>
  </si>
  <si>
    <t>Human Resources &amp; Civil Service</t>
  </si>
  <si>
    <t>d. Increase Retiree Healthcare funding</t>
  </si>
  <si>
    <t>e. Increase Judgments</t>
  </si>
  <si>
    <t>Department of Law</t>
  </si>
  <si>
    <t>f. Increase Outside Counsel in Law</t>
  </si>
  <si>
    <t>g. Restore funding for Citycuts</t>
  </si>
  <si>
    <t>Office of the Mayor</t>
  </si>
  <si>
    <t>#3 - Move vehicle funding from EMS to Fire and DPW - ES</t>
  </si>
  <si>
    <t>Department</t>
  </si>
  <si>
    <t>N/A</t>
  </si>
  <si>
    <t>#4 - Decrease ARLE Revenue in 2026</t>
  </si>
  <si>
    <t>#5 - Update all AFSCME 2719 and TEAMSTERS position salaries based on Agreement</t>
  </si>
  <si>
    <t>Various</t>
  </si>
  <si>
    <t>#6 - Increase funding for Premium Pay in CHR</t>
  </si>
  <si>
    <t>Commission on Human Relations</t>
  </si>
  <si>
    <t>#7 - Increase funding for Bridge Maintenance in DOMI</t>
  </si>
  <si>
    <t>#8 - Increase funding for Premium Pay in DOMI</t>
  </si>
  <si>
    <t>#9 - Decrease funding for ARLE Machinery &amp; Equipment in DOMI</t>
  </si>
  <si>
    <t>#10 - Increase funding for Natural Gas</t>
  </si>
  <si>
    <t>DPW - Bureau of Administration</t>
  </si>
  <si>
    <t>#11 - Add premium pay due to February 2026 snow event</t>
  </si>
  <si>
    <t>DPW - Bureau of Operations</t>
  </si>
  <si>
    <t>#12 - Increase funding for emergency snow removal for February 2026 snow event</t>
  </si>
  <si>
    <t>#13 - Add Heavy Equipment Operator</t>
  </si>
  <si>
    <t>#14 - Add Coordinator- Support Services</t>
  </si>
  <si>
    <t>#15 - Remove 2 Laborer positions</t>
  </si>
  <si>
    <t>#16 - Remove Neighborhood Engagement Coordiantor</t>
  </si>
  <si>
    <t>#17 - Remove funding for vehicles</t>
  </si>
  <si>
    <t>#18 - Increase funding needed for TEAMSTERS health care</t>
  </si>
  <si>
    <t>DPW - Bureau of Environmental Services</t>
  </si>
  <si>
    <t>#19 - Add Director DPW-Facilities</t>
  </si>
  <si>
    <t>#20 - Add funding for DPW Roof Replacements &amp; Boiler and Roof Top Unit Replacements</t>
  </si>
  <si>
    <t>#21 - Upgrade 1 Division Chief to Assistant Chief</t>
  </si>
  <si>
    <t>#22 - Decrease funding for EMS vehicles</t>
  </si>
  <si>
    <t>#23 - Technical Correction for Fire Chief and Deputy Chief rates</t>
  </si>
  <si>
    <t>Bureau of Fire</t>
  </si>
  <si>
    <t>#24 - Remove Emergency Management Allowance</t>
  </si>
  <si>
    <t>#25 -Update Active Healthcare Numbers across Departments</t>
  </si>
  <si>
    <t>#26 -VEBA Restoration Amount</t>
  </si>
  <si>
    <t>#27 - Increase Retiree Healthcare funding</t>
  </si>
  <si>
    <t>#28 - Upgrade Director of Human Resources to Chief of Labor Relations and Director of Human Resources</t>
  </si>
  <si>
    <t>#29 - Upgrade 1 Assistant Director to Deputy Director</t>
  </si>
  <si>
    <t>#30 - Delete 1 Sr. Hr Specilaist</t>
  </si>
  <si>
    <t>#31 - Upgrade HR Specialists from 15 G to 17G (3 Positions)</t>
  </si>
  <si>
    <t>#32 - Delete 1 311 Call Center Representative</t>
  </si>
  <si>
    <t>Innovation and Performance</t>
  </si>
  <si>
    <t>#33 - Delete 1 Systems Administrator</t>
  </si>
  <si>
    <t>#34 - Increase Judgments</t>
  </si>
  <si>
    <t>#35 - Increase Outside Counsel in Law</t>
  </si>
  <si>
    <t>#36 - Restore funding for Citycuts</t>
  </si>
  <si>
    <t>#37 - Interns for the Mayor's Office</t>
  </si>
  <si>
    <t>#38 - Restoring Love Your Block Funding</t>
  </si>
  <si>
    <t>#39 - Moving the Office of Business Diversity memberships &amp; professional services from the Mayors Office to OMB</t>
  </si>
  <si>
    <t>Office of Management and Budget</t>
  </si>
  <si>
    <t>#40 - Add funding to cover the true cost of memberships &amp; professional services in OMB</t>
  </si>
  <si>
    <t>#41 - Add funding to cover the true cost of insurance in OMB</t>
  </si>
  <si>
    <t>#42 - Add funding to cover the capital portion of 412 Blvd of the Allies</t>
  </si>
  <si>
    <t>#43 - Downgrade Director position to Deputy Director</t>
  </si>
  <si>
    <t>#44 - Change title of Chief Financial Officer to Chief Financial Officer/ Director</t>
  </si>
  <si>
    <t>#45 - Add funding to cover fuel expenses</t>
  </si>
  <si>
    <t>#46 - Add funding to cover non-target fleet repairs</t>
  </si>
  <si>
    <t>#47 - Add Pool Maintenance</t>
  </si>
  <si>
    <t>Department of Parks &amp; Recreation</t>
  </si>
  <si>
    <t>#48 - Add Part -Time Pool Staff for Oliver Bath House</t>
  </si>
  <si>
    <t>#49 - Add Deputy Director in Parks for Office of Youth &amp; Families</t>
  </si>
  <si>
    <t>#50 - Add funding for Youth &amp; Families</t>
  </si>
  <si>
    <t>#51 - Reduce Misc. Line Item</t>
  </si>
  <si>
    <t>#52 - Upgrade 1 PIO to Sr. PIO</t>
  </si>
  <si>
    <t>Public Safety -  Administration</t>
  </si>
  <si>
    <t>#53 - Move the Assistant Director - Community Affairs to the Stop the Violence Trust Fund</t>
  </si>
  <si>
    <t>#54 - Add Head of Wellness position (Police, Civilian) 6-months in 2026</t>
  </si>
  <si>
    <t>Public Safety - Bureau of Police</t>
  </si>
  <si>
    <t>#55 - Add Funding for Professional Development contract for Police</t>
  </si>
  <si>
    <t>#56 - Add Funding for Retiree Dental Costs</t>
  </si>
  <si>
    <t>#57 - Add PJCBC Union Benefit for Seasonal Laborers</t>
  </si>
  <si>
    <t>#58 - Replace Financal Systems Administrator with ERP Manager (half year in 2026)</t>
  </si>
  <si>
    <t>Office of the City Controller</t>
  </si>
  <si>
    <t>#59 - Replace Controller's Clerk with Senior Controller's Clerk (half year in 2026)</t>
  </si>
  <si>
    <t>#60 - Add Longevity for AFSCME 2719</t>
  </si>
  <si>
    <t>#61 - Add PJCBC Medical Waivers</t>
  </si>
  <si>
    <t>#62 - Add PAYGO Amendment</t>
  </si>
  <si>
    <t>Five Year Financial Forecast</t>
  </si>
  <si>
    <t>#63 - Use of Fund Balance to Balance the Budget in 2026</t>
  </si>
  <si>
    <t>#64 - Remove 1 Program Coordinator, CitiSports</t>
  </si>
  <si>
    <t>Stop the Violence</t>
  </si>
  <si>
    <t xml:space="preserve">Net change, 2026 </t>
  </si>
  <si>
    <t>#65 - Remove 1 Recreation Leader, afterschool program</t>
  </si>
  <si>
    <t>#66 - Add funding for maintenance projects</t>
  </si>
  <si>
    <t>Parks Tax Trust Fund</t>
  </si>
  <si>
    <t>#67 - Increase Assistant II, Administration position from 0.9 to 1.0 from Three Taxing Bodies Trust Fund</t>
  </si>
  <si>
    <t>Three Taxing bodies Trust Fund</t>
  </si>
  <si>
    <t>#68 - Update all AFSCME 2719 and TEAMSTERS position salaries based on Agreement</t>
  </si>
  <si>
    <t xml:space="preserve">a. </t>
  </si>
  <si>
    <t>Police Secondary Employment TF</t>
  </si>
  <si>
    <t>b.</t>
  </si>
  <si>
    <t>Community Development TF</t>
  </si>
  <si>
    <t>c.</t>
  </si>
  <si>
    <t>Stop the Violence TF</t>
  </si>
  <si>
    <t>d.</t>
  </si>
  <si>
    <t>Three Taxing Bodies TF</t>
  </si>
  <si>
    <t>e.</t>
  </si>
  <si>
    <t>Parks Tax TF</t>
  </si>
  <si>
    <t>#69 -  Update PT Salaries for Tennis Instructors</t>
  </si>
  <si>
    <t>Mellon Park TF</t>
  </si>
  <si>
    <t>#70 -  Add Violence Prevention Coordinator, CSVP</t>
  </si>
  <si>
    <t>#71 -  Add Five (5) Violence Prevention Managers, CSVP</t>
  </si>
  <si>
    <t>#72 -  Move the Assistant Director - Community Affairs from Public Safety Bureau of Administration</t>
  </si>
  <si>
    <t>#73 -  Salary Increase for Senior Safer Together Project Coordinator from 22G to 24G</t>
  </si>
  <si>
    <t>#74 -  Remove 1 Stop the Violence Coordinator, CSVP</t>
  </si>
  <si>
    <t xml:space="preserve"> $-   </t>
  </si>
  <si>
    <t>#75 -  Remove 1 Crime Anlayst, CSVP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</si>
</sst>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left"/>
    </xf>
    <xf numFmtId="0" fontId="2" fillId="2" borderId="1" xfId="0" applyFont="1" applyFill="1" applyBorder="1"/>
    <xf numFmtId="0" fontId="2" fillId="2" borderId="2" xfId="0" applyFont="1" applyFill="1" applyBorder="1"/>
    <xf numFmtId="0" fontId="0" fillId="0" borderId="1" xfId="0" applyBorder="1"/>
    <xf numFmtId="0" fontId="0" fillId="0" borderId="3" xfId="0" applyBorder="1"/>
    <xf numFmtId="44" fontId="4" fillId="0" borderId="4" xfId="0" applyNumberFormat="1" applyFont="1" applyBorder="1"/>
    <xf numFmtId="44" fontId="0" fillId="0" borderId="5" xfId="1" applyFont="1" applyBorder="1"/>
    <xf numFmtId="44" fontId="0" fillId="0" borderId="1" xfId="1" applyFont="1" applyBorder="1"/>
    <xf numFmtId="4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Border="1"/>
    <xf numFmtId="44" fontId="0" fillId="0" borderId="1" xfId="1" applyFont="1" applyFill="1" applyBorder="1"/>
    <xf numFmtId="44" fontId="0" fillId="0" borderId="9" xfId="1" applyFont="1" applyBorder="1"/>
    <xf numFmtId="164" fontId="0" fillId="0" borderId="0" xfId="0" applyNumberFormat="1"/>
    <xf numFmtId="8" fontId="0" fillId="0" borderId="1" xfId="1" applyNumberFormat="1" applyFont="1" applyBorder="1"/>
    <xf numFmtId="44" fontId="0" fillId="0" borderId="4" xfId="1" applyFont="1" applyBorder="1"/>
    <xf numFmtId="44" fontId="5" fillId="0" borderId="4" xfId="0" applyNumberFormat="1" applyFont="1" applyBorder="1"/>
    <xf numFmtId="0" fontId="4" fillId="0" borderId="1" xfId="0" applyFont="1" applyBorder="1"/>
    <xf numFmtId="0" fontId="4" fillId="0" borderId="3" xfId="0" applyFont="1" applyBorder="1"/>
    <xf numFmtId="8" fontId="5" fillId="0" borderId="4" xfId="0" applyNumberFormat="1" applyFont="1" applyBorder="1"/>
    <xf numFmtId="8" fontId="4" fillId="0" borderId="4" xfId="0" applyNumberFormat="1" applyFont="1" applyBorder="1"/>
    <xf numFmtId="8" fontId="4" fillId="0" borderId="5" xfId="0" applyNumberFormat="1" applyFont="1" applyBorder="1"/>
    <xf numFmtId="0" fontId="6" fillId="3" borderId="1" xfId="0" applyFont="1" applyFill="1" applyBorder="1"/>
    <xf numFmtId="8" fontId="4" fillId="0" borderId="1" xfId="0" applyNumberFormat="1" applyFont="1" applyBorder="1"/>
    <xf numFmtId="0" fontId="4" fillId="0" borderId="0" xfId="0" applyFont="1"/>
    <xf numFmtId="8" fontId="6" fillId="0" borderId="0" xfId="0" applyNumberFormat="1" applyFont="1"/>
    <xf numFmtId="0" fontId="7" fillId="0" borderId="0" xfId="0" applyFont="1" applyAlignment="1">
      <alignment horizontal="left"/>
    </xf>
    <xf numFmtId="0" fontId="8" fillId="0" borderId="0" xfId="0" applyFont="1"/>
    <xf numFmtId="0" fontId="7" fillId="2" borderId="1" xfId="0" applyFont="1" applyFill="1" applyBorder="1"/>
    <xf numFmtId="0" fontId="7" fillId="2" borderId="2" xfId="0" applyFont="1" applyFill="1" applyBorder="1"/>
    <xf numFmtId="0" fontId="8" fillId="0" borderId="1" xfId="0" applyFont="1" applyBorder="1"/>
    <xf numFmtId="0" fontId="8" fillId="0" borderId="3" xfId="0" applyFont="1" applyBorder="1"/>
    <xf numFmtId="44" fontId="9" fillId="0" borderId="4" xfId="0" applyNumberFormat="1" applyFont="1" applyBorder="1"/>
    <xf numFmtId="44" fontId="8" fillId="0" borderId="5" xfId="1" applyFont="1" applyBorder="1"/>
    <xf numFmtId="44" fontId="8" fillId="0" borderId="1" xfId="1" applyFont="1" applyBorder="1"/>
    <xf numFmtId="44" fontId="7" fillId="0" borderId="0" xfId="0" applyNumberFormat="1" applyFont="1"/>
    <xf numFmtId="0" fontId="7" fillId="0" borderId="0" xfId="0" applyFont="1"/>
    <xf numFmtId="0" fontId="7" fillId="2" borderId="3" xfId="0" applyFont="1" applyFill="1" applyBorder="1"/>
    <xf numFmtId="44" fontId="8" fillId="0" borderId="3" xfId="1" applyFont="1" applyBorder="1"/>
    <xf numFmtId="44" fontId="8" fillId="0" borderId="6" xfId="1" applyFont="1" applyBorder="1"/>
    <xf numFmtId="0" fontId="7" fillId="0" borderId="0" xfId="0" applyFont="1" applyAlignment="1">
      <alignment horizontal="center"/>
    </xf>
    <xf numFmtId="44" fontId="7" fillId="0" borderId="0" xfId="1" applyFont="1" applyBorder="1"/>
    <xf numFmtId="0" fontId="7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0" borderId="8" xfId="0" applyFont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01ADA-546F-42C5-92B4-A01DF523C1BE}">
  <sheetPr>
    <pageSetUpPr fitToPage="1"/>
  </sheetPr>
  <dimension ref="A1:H1286"/>
  <sheetViews>
    <sheetView tabSelected="1" topLeftCell="A40" workbookViewId="0">
      <selection activeCell="K30" sqref="K30"/>
    </sheetView>
  </sheetViews>
  <sheetFormatPr defaultRowHeight="15" x14ac:dyDescent="0.25"/>
  <cols>
    <col min="2" max="2" width="30.7109375" bestFit="1" customWidth="1"/>
    <col min="3" max="3" width="9.28515625" bestFit="1" customWidth="1"/>
    <col min="4" max="4" width="14.5703125" bestFit="1" customWidth="1"/>
    <col min="5" max="6" width="16.28515625" bestFit="1" customWidth="1"/>
    <col min="7" max="7" width="16" bestFit="1" customWidth="1"/>
  </cols>
  <sheetData>
    <row r="1" spans="1:8" ht="21" x14ac:dyDescent="0.35">
      <c r="A1" s="46" t="s">
        <v>0</v>
      </c>
      <c r="B1" s="46"/>
      <c r="C1" s="46"/>
      <c r="D1" s="46"/>
      <c r="E1" s="46"/>
      <c r="F1" s="46"/>
      <c r="G1" s="46"/>
      <c r="H1" s="46"/>
    </row>
    <row r="3" spans="1:8" x14ac:dyDescent="0.25">
      <c r="A3" s="28" t="s">
        <v>1</v>
      </c>
      <c r="B3" s="29"/>
      <c r="C3" s="29"/>
      <c r="D3" s="29"/>
      <c r="E3" s="29"/>
      <c r="F3" s="29"/>
      <c r="G3" s="29"/>
    </row>
    <row r="4" spans="1:8" x14ac:dyDescent="0.25">
      <c r="A4" s="30" t="s">
        <v>2</v>
      </c>
      <c r="B4" s="30"/>
      <c r="C4" s="30" t="s">
        <v>3</v>
      </c>
      <c r="D4" s="30"/>
      <c r="E4" s="45"/>
      <c r="F4" s="45"/>
      <c r="G4" s="45"/>
    </row>
    <row r="5" spans="1:8" x14ac:dyDescent="0.25">
      <c r="A5" s="30" t="s">
        <v>4</v>
      </c>
      <c r="B5" s="30"/>
      <c r="C5" s="30" t="s">
        <v>5</v>
      </c>
      <c r="D5" s="30" t="s">
        <v>6</v>
      </c>
      <c r="E5" s="31" t="s">
        <v>7</v>
      </c>
      <c r="F5" s="30" t="s">
        <v>8</v>
      </c>
      <c r="G5" s="30" t="s">
        <v>9</v>
      </c>
    </row>
    <row r="6" spans="1:8" x14ac:dyDescent="0.25">
      <c r="A6" s="32">
        <v>172</v>
      </c>
      <c r="B6" s="32" t="s">
        <v>10</v>
      </c>
      <c r="C6" s="32">
        <v>2026</v>
      </c>
      <c r="D6" s="33">
        <v>57531</v>
      </c>
      <c r="E6" s="34">
        <v>1983750</v>
      </c>
      <c r="F6" s="35">
        <v>27000</v>
      </c>
      <c r="G6" s="36">
        <f t="shared" ref="G6:G20" si="0">E6-F6</f>
        <v>1956750</v>
      </c>
    </row>
    <row r="7" spans="1:8" x14ac:dyDescent="0.25">
      <c r="A7" s="32">
        <v>172</v>
      </c>
      <c r="B7" s="32" t="s">
        <v>10</v>
      </c>
      <c r="C7" s="32">
        <v>2027</v>
      </c>
      <c r="D7" s="33">
        <v>57531</v>
      </c>
      <c r="E7" s="34">
        <v>1983750</v>
      </c>
      <c r="F7" s="35">
        <v>0</v>
      </c>
      <c r="G7" s="36">
        <f t="shared" si="0"/>
        <v>1983750</v>
      </c>
    </row>
    <row r="8" spans="1:8" x14ac:dyDescent="0.25">
      <c r="A8" s="32">
        <v>172</v>
      </c>
      <c r="B8" s="32" t="s">
        <v>10</v>
      </c>
      <c r="C8" s="32">
        <v>2028</v>
      </c>
      <c r="D8" s="33">
        <v>57531</v>
      </c>
      <c r="E8" s="34">
        <v>1983750</v>
      </c>
      <c r="F8" s="35">
        <v>0</v>
      </c>
      <c r="G8" s="36">
        <f t="shared" si="0"/>
        <v>1983750</v>
      </c>
    </row>
    <row r="9" spans="1:8" x14ac:dyDescent="0.25">
      <c r="A9" s="32">
        <v>172</v>
      </c>
      <c r="B9" s="32" t="s">
        <v>10</v>
      </c>
      <c r="C9" s="32">
        <v>2029</v>
      </c>
      <c r="D9" s="33">
        <v>57531</v>
      </c>
      <c r="E9" s="34">
        <v>1983750</v>
      </c>
      <c r="F9" s="35">
        <v>0</v>
      </c>
      <c r="G9" s="36">
        <f t="shared" si="0"/>
        <v>1983750</v>
      </c>
    </row>
    <row r="10" spans="1:8" x14ac:dyDescent="0.25">
      <c r="A10" s="32">
        <v>172</v>
      </c>
      <c r="B10" s="32" t="s">
        <v>10</v>
      </c>
      <c r="C10" s="32">
        <v>2030</v>
      </c>
      <c r="D10" s="33">
        <v>57531</v>
      </c>
      <c r="E10" s="34">
        <v>1983750</v>
      </c>
      <c r="F10" s="35">
        <v>0</v>
      </c>
      <c r="G10" s="36">
        <f t="shared" si="0"/>
        <v>1983750</v>
      </c>
    </row>
    <row r="11" spans="1:8" x14ac:dyDescent="0.25">
      <c r="A11" s="32">
        <v>189</v>
      </c>
      <c r="B11" s="32" t="s">
        <v>11</v>
      </c>
      <c r="C11" s="32">
        <v>2026</v>
      </c>
      <c r="D11" s="33">
        <v>57531</v>
      </c>
      <c r="E11" s="34">
        <v>0</v>
      </c>
      <c r="F11" s="35">
        <v>978375</v>
      </c>
      <c r="G11" s="36">
        <f t="shared" si="0"/>
        <v>-978375</v>
      </c>
    </row>
    <row r="12" spans="1:8" x14ac:dyDescent="0.25">
      <c r="A12" s="32">
        <v>189</v>
      </c>
      <c r="B12" s="32" t="s">
        <v>11</v>
      </c>
      <c r="C12" s="32">
        <v>2027</v>
      </c>
      <c r="D12" s="33">
        <v>57531</v>
      </c>
      <c r="E12" s="34">
        <v>0</v>
      </c>
      <c r="F12" s="35">
        <v>991875</v>
      </c>
      <c r="G12" s="36">
        <f t="shared" si="0"/>
        <v>-991875</v>
      </c>
    </row>
    <row r="13" spans="1:8" x14ac:dyDescent="0.25">
      <c r="A13" s="32">
        <v>189</v>
      </c>
      <c r="B13" s="32" t="s">
        <v>11</v>
      </c>
      <c r="C13" s="32">
        <v>2028</v>
      </c>
      <c r="D13" s="33">
        <v>57531</v>
      </c>
      <c r="E13" s="34">
        <v>0</v>
      </c>
      <c r="F13" s="35">
        <v>991875</v>
      </c>
      <c r="G13" s="36">
        <f t="shared" si="0"/>
        <v>-991875</v>
      </c>
    </row>
    <row r="14" spans="1:8" x14ac:dyDescent="0.25">
      <c r="A14" s="32">
        <v>189</v>
      </c>
      <c r="B14" s="32" t="s">
        <v>11</v>
      </c>
      <c r="C14" s="32">
        <v>2029</v>
      </c>
      <c r="D14" s="33">
        <v>57531</v>
      </c>
      <c r="E14" s="34">
        <v>0</v>
      </c>
      <c r="F14" s="35">
        <v>991875</v>
      </c>
      <c r="G14" s="36">
        <f t="shared" si="0"/>
        <v>-991875</v>
      </c>
    </row>
    <row r="15" spans="1:8" x14ac:dyDescent="0.25">
      <c r="A15" s="32">
        <v>189</v>
      </c>
      <c r="B15" s="32" t="s">
        <v>11</v>
      </c>
      <c r="C15" s="32">
        <v>2030</v>
      </c>
      <c r="D15" s="33">
        <v>57531</v>
      </c>
      <c r="E15" s="34">
        <v>0</v>
      </c>
      <c r="F15" s="35">
        <v>991875</v>
      </c>
      <c r="G15" s="36">
        <f t="shared" si="0"/>
        <v>-991875</v>
      </c>
    </row>
    <row r="16" spans="1:8" x14ac:dyDescent="0.25">
      <c r="A16" s="32">
        <v>220</v>
      </c>
      <c r="B16" s="32" t="s">
        <v>12</v>
      </c>
      <c r="C16" s="32">
        <v>2026</v>
      </c>
      <c r="D16" s="33">
        <v>57531</v>
      </c>
      <c r="E16" s="34">
        <v>0</v>
      </c>
      <c r="F16" s="35">
        <v>978375</v>
      </c>
      <c r="G16" s="36">
        <f t="shared" si="0"/>
        <v>-978375</v>
      </c>
    </row>
    <row r="17" spans="1:7" x14ac:dyDescent="0.25">
      <c r="A17" s="32">
        <v>221</v>
      </c>
      <c r="B17" s="32" t="s">
        <v>12</v>
      </c>
      <c r="C17" s="32">
        <v>2027</v>
      </c>
      <c r="D17" s="33">
        <v>57531</v>
      </c>
      <c r="E17" s="34">
        <v>0</v>
      </c>
      <c r="F17" s="35">
        <v>991875</v>
      </c>
      <c r="G17" s="36">
        <f t="shared" si="0"/>
        <v>-991875</v>
      </c>
    </row>
    <row r="18" spans="1:7" x14ac:dyDescent="0.25">
      <c r="A18" s="32">
        <v>222</v>
      </c>
      <c r="B18" s="32" t="s">
        <v>12</v>
      </c>
      <c r="C18" s="32">
        <v>2028</v>
      </c>
      <c r="D18" s="33">
        <v>57531</v>
      </c>
      <c r="E18" s="34">
        <v>0</v>
      </c>
      <c r="F18" s="35">
        <v>991875</v>
      </c>
      <c r="G18" s="36">
        <f t="shared" si="0"/>
        <v>-991875</v>
      </c>
    </row>
    <row r="19" spans="1:7" x14ac:dyDescent="0.25">
      <c r="A19" s="32">
        <v>223</v>
      </c>
      <c r="B19" s="32" t="s">
        <v>12</v>
      </c>
      <c r="C19" s="32">
        <v>2029</v>
      </c>
      <c r="D19" s="33">
        <v>57531</v>
      </c>
      <c r="E19" s="34">
        <v>0</v>
      </c>
      <c r="F19" s="35">
        <v>991875</v>
      </c>
      <c r="G19" s="36">
        <f t="shared" si="0"/>
        <v>-991875</v>
      </c>
    </row>
    <row r="20" spans="1:7" x14ac:dyDescent="0.25">
      <c r="A20" s="32">
        <v>224</v>
      </c>
      <c r="B20" s="32" t="s">
        <v>12</v>
      </c>
      <c r="C20" s="32">
        <v>2030</v>
      </c>
      <c r="D20" s="33">
        <v>57531</v>
      </c>
      <c r="E20" s="34">
        <v>0</v>
      </c>
      <c r="F20" s="35">
        <v>991875</v>
      </c>
      <c r="G20" s="36">
        <f t="shared" si="0"/>
        <v>-991875</v>
      </c>
    </row>
    <row r="21" spans="1:7" x14ac:dyDescent="0.25">
      <c r="A21" s="29"/>
      <c r="B21" s="29"/>
      <c r="C21" s="29"/>
      <c r="D21" s="29"/>
      <c r="E21" s="44" t="s">
        <v>13</v>
      </c>
      <c r="F21" s="44"/>
      <c r="G21" s="37">
        <f>SUM(G6:G20)</f>
        <v>0</v>
      </c>
    </row>
    <row r="23" spans="1:7" x14ac:dyDescent="0.25">
      <c r="A23" s="38" t="s">
        <v>14</v>
      </c>
      <c r="B23" s="29"/>
      <c r="C23" s="29"/>
      <c r="D23" s="29"/>
      <c r="E23" s="29"/>
      <c r="F23" s="29"/>
      <c r="G23" s="29"/>
    </row>
    <row r="24" spans="1:7" x14ac:dyDescent="0.25">
      <c r="A24" s="38" t="s">
        <v>15</v>
      </c>
      <c r="B24" s="38"/>
      <c r="C24" s="38"/>
      <c r="D24" s="38"/>
      <c r="E24" s="38"/>
      <c r="F24" s="38"/>
      <c r="G24" s="38"/>
    </row>
    <row r="25" spans="1:7" x14ac:dyDescent="0.25">
      <c r="A25" s="30" t="s">
        <v>2</v>
      </c>
      <c r="B25" s="30"/>
      <c r="C25" s="30" t="s">
        <v>3</v>
      </c>
      <c r="D25" s="30"/>
      <c r="E25" s="45"/>
      <c r="F25" s="45"/>
      <c r="G25" s="45"/>
    </row>
    <row r="26" spans="1:7" x14ac:dyDescent="0.25">
      <c r="A26" s="30" t="s">
        <v>4</v>
      </c>
      <c r="B26" s="30"/>
      <c r="C26" s="30" t="s">
        <v>5</v>
      </c>
      <c r="D26" s="30" t="s">
        <v>6</v>
      </c>
      <c r="E26" s="30" t="s">
        <v>7</v>
      </c>
      <c r="F26" s="30" t="s">
        <v>8</v>
      </c>
      <c r="G26" s="39" t="s">
        <v>9</v>
      </c>
    </row>
    <row r="27" spans="1:7" x14ac:dyDescent="0.25">
      <c r="A27" s="32">
        <v>246</v>
      </c>
      <c r="B27" s="32" t="s">
        <v>16</v>
      </c>
      <c r="C27" s="32">
        <v>2026</v>
      </c>
      <c r="D27" s="32">
        <v>54201</v>
      </c>
      <c r="E27" s="36">
        <v>1100000</v>
      </c>
      <c r="F27" s="36">
        <f>E27+800000+H27</f>
        <v>1900000</v>
      </c>
      <c r="G27" s="40">
        <f>E27-F27</f>
        <v>-800000</v>
      </c>
    </row>
    <row r="28" spans="1:7" x14ac:dyDescent="0.25">
      <c r="A28" s="32">
        <v>246</v>
      </c>
      <c r="B28" s="32" t="s">
        <v>16</v>
      </c>
      <c r="C28" s="32">
        <v>2027</v>
      </c>
      <c r="D28" s="32">
        <v>54201</v>
      </c>
      <c r="E28" s="36">
        <v>1100000</v>
      </c>
      <c r="F28" s="36">
        <f>E28+800000+H28</f>
        <v>1900000</v>
      </c>
      <c r="G28" s="40">
        <f>E28-F28</f>
        <v>-800000</v>
      </c>
    </row>
    <row r="29" spans="1:7" x14ac:dyDescent="0.25">
      <c r="A29" s="32">
        <v>246</v>
      </c>
      <c r="B29" s="32" t="s">
        <v>16</v>
      </c>
      <c r="C29" s="32">
        <v>2028</v>
      </c>
      <c r="D29" s="32">
        <v>54201</v>
      </c>
      <c r="E29" s="36">
        <v>1100000</v>
      </c>
      <c r="F29" s="36">
        <f>E29+600000</f>
        <v>1700000</v>
      </c>
      <c r="G29" s="40">
        <f>E29-F29</f>
        <v>-600000</v>
      </c>
    </row>
    <row r="30" spans="1:7" x14ac:dyDescent="0.25">
      <c r="A30" s="32">
        <v>246</v>
      </c>
      <c r="B30" s="32" t="s">
        <v>16</v>
      </c>
      <c r="C30" s="32">
        <v>2029</v>
      </c>
      <c r="D30" s="32">
        <v>54201</v>
      </c>
      <c r="E30" s="36">
        <v>1100000</v>
      </c>
      <c r="F30" s="36">
        <f>E30+500000</f>
        <v>1600000</v>
      </c>
      <c r="G30" s="40">
        <f>E30-F30</f>
        <v>-500000</v>
      </c>
    </row>
    <row r="31" spans="1:7" x14ac:dyDescent="0.25">
      <c r="A31" s="32">
        <v>246</v>
      </c>
      <c r="B31" s="32" t="s">
        <v>16</v>
      </c>
      <c r="C31" s="32">
        <v>2030</v>
      </c>
      <c r="D31" s="32">
        <v>54201</v>
      </c>
      <c r="E31" s="36">
        <v>1100000</v>
      </c>
      <c r="F31" s="36">
        <f>E31+500000</f>
        <v>1600000</v>
      </c>
      <c r="G31" s="36">
        <f>E31-F31</f>
        <v>-500000</v>
      </c>
    </row>
    <row r="32" spans="1:7" x14ac:dyDescent="0.25">
      <c r="A32" s="29"/>
      <c r="B32" s="29"/>
      <c r="C32" s="29"/>
      <c r="D32" s="29"/>
      <c r="E32" s="44" t="s">
        <v>13</v>
      </c>
      <c r="F32" s="44"/>
      <c r="G32" s="37">
        <f>SUM(G27:G31)</f>
        <v>-3200000</v>
      </c>
    </row>
    <row r="33" spans="1:7" x14ac:dyDescent="0.25">
      <c r="A33" s="38" t="s">
        <v>17</v>
      </c>
      <c r="B33" s="38"/>
      <c r="C33" s="38"/>
      <c r="D33" s="38"/>
      <c r="E33" s="38"/>
      <c r="F33" s="38"/>
      <c r="G33" s="38"/>
    </row>
    <row r="34" spans="1:7" x14ac:dyDescent="0.25">
      <c r="A34" s="30" t="s">
        <v>2</v>
      </c>
      <c r="B34" s="30"/>
      <c r="C34" s="30" t="s">
        <v>3</v>
      </c>
      <c r="D34" s="30"/>
      <c r="E34" s="45"/>
      <c r="F34" s="45"/>
      <c r="G34" s="45"/>
    </row>
    <row r="35" spans="1:7" x14ac:dyDescent="0.25">
      <c r="A35" s="30" t="s">
        <v>4</v>
      </c>
      <c r="B35" s="30"/>
      <c r="C35" s="30" t="s">
        <v>5</v>
      </c>
      <c r="D35" s="30" t="s">
        <v>6</v>
      </c>
      <c r="E35" s="30" t="s">
        <v>7</v>
      </c>
      <c r="F35" s="30" t="s">
        <v>8</v>
      </c>
      <c r="G35" s="39" t="s">
        <v>9</v>
      </c>
    </row>
    <row r="36" spans="1:7" x14ac:dyDescent="0.25">
      <c r="A36" s="32">
        <v>225</v>
      </c>
      <c r="B36" s="32" t="s">
        <v>18</v>
      </c>
      <c r="C36" s="32">
        <v>2026</v>
      </c>
      <c r="D36" s="32">
        <v>54201</v>
      </c>
      <c r="E36" s="36">
        <v>2037275</v>
      </c>
      <c r="F36" s="36">
        <f>2037275+1876000+680352+H36</f>
        <v>4593627</v>
      </c>
      <c r="G36" s="36">
        <f>E36-F36</f>
        <v>-2556352</v>
      </c>
    </row>
    <row r="37" spans="1:7" x14ac:dyDescent="0.25">
      <c r="A37" s="32">
        <v>225</v>
      </c>
      <c r="B37" s="32" t="s">
        <v>18</v>
      </c>
      <c r="C37" s="32">
        <v>2027</v>
      </c>
      <c r="D37" s="32">
        <v>54201</v>
      </c>
      <c r="E37" s="36">
        <v>2037275</v>
      </c>
      <c r="F37" s="36">
        <f>2037275+200000+100000+H37</f>
        <v>2337275</v>
      </c>
      <c r="G37" s="36">
        <f>E37-F37</f>
        <v>-300000</v>
      </c>
    </row>
    <row r="38" spans="1:7" x14ac:dyDescent="0.25">
      <c r="A38" s="32">
        <v>225</v>
      </c>
      <c r="B38" s="32" t="s">
        <v>18</v>
      </c>
      <c r="C38" s="32">
        <v>2028</v>
      </c>
      <c r="D38" s="32">
        <v>54201</v>
      </c>
      <c r="E38" s="36">
        <v>2037275</v>
      </c>
      <c r="F38" s="36">
        <f t="shared" ref="F38:F40" si="1">2037275+200000+100000</f>
        <v>2337275</v>
      </c>
      <c r="G38" s="40">
        <f>E38-F38</f>
        <v>-300000</v>
      </c>
    </row>
    <row r="39" spans="1:7" x14ac:dyDescent="0.25">
      <c r="A39" s="32">
        <v>225</v>
      </c>
      <c r="B39" s="32" t="s">
        <v>18</v>
      </c>
      <c r="C39" s="32">
        <v>2029</v>
      </c>
      <c r="D39" s="32">
        <v>54201</v>
      </c>
      <c r="E39" s="36">
        <v>2037275</v>
      </c>
      <c r="F39" s="36">
        <f t="shared" si="1"/>
        <v>2337275</v>
      </c>
      <c r="G39" s="40">
        <f>E39-F39</f>
        <v>-300000</v>
      </c>
    </row>
    <row r="40" spans="1:7" x14ac:dyDescent="0.25">
      <c r="A40" s="32">
        <v>225</v>
      </c>
      <c r="B40" s="32" t="s">
        <v>18</v>
      </c>
      <c r="C40" s="32">
        <v>2030</v>
      </c>
      <c r="D40" s="32">
        <v>54201</v>
      </c>
      <c r="E40" s="36">
        <v>2037275</v>
      </c>
      <c r="F40" s="36">
        <f t="shared" si="1"/>
        <v>2337275</v>
      </c>
      <c r="G40" s="41">
        <f>E40-F40</f>
        <v>-300000</v>
      </c>
    </row>
    <row r="41" spans="1:7" x14ac:dyDescent="0.25">
      <c r="A41" s="29"/>
      <c r="B41" s="29"/>
      <c r="C41" s="29"/>
      <c r="D41" s="42"/>
      <c r="E41" s="44" t="s">
        <v>13</v>
      </c>
      <c r="F41" s="44"/>
      <c r="G41" s="43">
        <f>SUM(G36:G40)</f>
        <v>-3756352</v>
      </c>
    </row>
    <row r="42" spans="1:7" x14ac:dyDescent="0.25">
      <c r="A42" s="38" t="s">
        <v>19</v>
      </c>
      <c r="B42" s="38"/>
      <c r="C42" s="38"/>
      <c r="D42" s="38"/>
      <c r="E42" s="38"/>
      <c r="F42" s="38"/>
      <c r="G42" s="38"/>
    </row>
    <row r="43" spans="1:7" x14ac:dyDescent="0.25">
      <c r="A43" s="30" t="s">
        <v>2</v>
      </c>
      <c r="B43" s="30"/>
      <c r="C43" s="30" t="s">
        <v>3</v>
      </c>
      <c r="D43" s="30"/>
      <c r="E43" s="45"/>
      <c r="F43" s="45"/>
      <c r="G43" s="45"/>
    </row>
    <row r="44" spans="1:7" x14ac:dyDescent="0.25">
      <c r="A44" s="30" t="s">
        <v>4</v>
      </c>
      <c r="B44" s="30"/>
      <c r="C44" s="30" t="s">
        <v>5</v>
      </c>
      <c r="D44" s="30" t="s">
        <v>6</v>
      </c>
      <c r="E44" s="30" t="s">
        <v>7</v>
      </c>
      <c r="F44" s="30" t="s">
        <v>8</v>
      </c>
      <c r="G44" s="39" t="s">
        <v>9</v>
      </c>
    </row>
    <row r="45" spans="1:7" x14ac:dyDescent="0.25">
      <c r="A45" s="32">
        <v>135</v>
      </c>
      <c r="B45" s="32" t="s">
        <v>20</v>
      </c>
      <c r="C45" s="32">
        <v>2026</v>
      </c>
      <c r="D45" s="32">
        <v>52101</v>
      </c>
      <c r="E45" s="36">
        <v>0</v>
      </c>
      <c r="F45" s="36">
        <f>3500000+H45</f>
        <v>3500000</v>
      </c>
      <c r="G45" s="36">
        <f>E45-F45</f>
        <v>-3500000</v>
      </c>
    </row>
    <row r="46" spans="1:7" x14ac:dyDescent="0.25">
      <c r="A46" s="32">
        <v>135</v>
      </c>
      <c r="B46" s="32" t="s">
        <v>20</v>
      </c>
      <c r="C46" s="32">
        <v>2027</v>
      </c>
      <c r="D46" s="32">
        <v>52101</v>
      </c>
      <c r="E46" s="36">
        <v>0</v>
      </c>
      <c r="F46" s="36">
        <f>3500000+H46</f>
        <v>3500000</v>
      </c>
      <c r="G46" s="36">
        <f>E46-F46</f>
        <v>-3500000</v>
      </c>
    </row>
    <row r="47" spans="1:7" x14ac:dyDescent="0.25">
      <c r="A47" s="29"/>
      <c r="B47" s="29"/>
      <c r="C47" s="29"/>
      <c r="D47" s="29"/>
      <c r="E47" s="44" t="s">
        <v>13</v>
      </c>
      <c r="F47" s="44"/>
      <c r="G47" s="37">
        <f>SUM(G45:G46)</f>
        <v>-7000000</v>
      </c>
    </row>
    <row r="48" spans="1:7" x14ac:dyDescent="0.25">
      <c r="A48" s="38" t="s">
        <v>21</v>
      </c>
      <c r="B48" s="38"/>
      <c r="C48" s="38"/>
      <c r="D48" s="38"/>
      <c r="E48" s="38"/>
      <c r="F48" s="38"/>
      <c r="G48" s="38"/>
    </row>
    <row r="49" spans="1:7" x14ac:dyDescent="0.25">
      <c r="A49" s="30" t="s">
        <v>2</v>
      </c>
      <c r="B49" s="30"/>
      <c r="C49" s="30" t="s">
        <v>3</v>
      </c>
      <c r="D49" s="30"/>
      <c r="E49" s="45"/>
      <c r="F49" s="45"/>
      <c r="G49" s="45"/>
    </row>
    <row r="50" spans="1:7" x14ac:dyDescent="0.25">
      <c r="A50" s="30" t="s">
        <v>4</v>
      </c>
      <c r="B50" s="30"/>
      <c r="C50" s="30" t="s">
        <v>5</v>
      </c>
      <c r="D50" s="30" t="s">
        <v>6</v>
      </c>
      <c r="E50" s="30" t="s">
        <v>7</v>
      </c>
      <c r="F50" s="30" t="s">
        <v>8</v>
      </c>
      <c r="G50" s="30" t="s">
        <v>9</v>
      </c>
    </row>
    <row r="51" spans="1:7" x14ac:dyDescent="0.25">
      <c r="A51" s="32">
        <v>135</v>
      </c>
      <c r="B51" s="32" t="s">
        <v>20</v>
      </c>
      <c r="C51" s="32">
        <v>2026</v>
      </c>
      <c r="D51" s="32">
        <v>52121</v>
      </c>
      <c r="E51" s="36">
        <v>-12000000</v>
      </c>
      <c r="F51" s="36">
        <f>-6000000+H51</f>
        <v>-6000000</v>
      </c>
      <c r="G51" s="36">
        <f>E51-F51</f>
        <v>-6000000</v>
      </c>
    </row>
    <row r="52" spans="1:7" x14ac:dyDescent="0.25">
      <c r="A52" s="32"/>
      <c r="B52" s="32"/>
      <c r="C52" s="32"/>
      <c r="D52" s="32"/>
      <c r="E52" s="36"/>
      <c r="F52" s="36"/>
      <c r="G52" s="36">
        <f>E52-F52</f>
        <v>0</v>
      </c>
    </row>
    <row r="53" spans="1:7" x14ac:dyDescent="0.25">
      <c r="A53" s="32"/>
      <c r="B53" s="32"/>
      <c r="C53" s="32"/>
      <c r="D53" s="32"/>
      <c r="E53" s="36"/>
      <c r="F53" s="36"/>
      <c r="G53" s="36">
        <f>E53-F53</f>
        <v>0</v>
      </c>
    </row>
    <row r="54" spans="1:7" x14ac:dyDescent="0.25">
      <c r="A54" s="32"/>
      <c r="B54" s="32"/>
      <c r="C54" s="32"/>
      <c r="D54" s="32"/>
      <c r="E54" s="36"/>
      <c r="F54" s="36"/>
      <c r="G54" s="36">
        <f>E54-F54</f>
        <v>0</v>
      </c>
    </row>
    <row r="55" spans="1:7" x14ac:dyDescent="0.25">
      <c r="A55" s="32"/>
      <c r="B55" s="32"/>
      <c r="C55" s="32"/>
      <c r="D55" s="32"/>
      <c r="E55" s="36"/>
      <c r="F55" s="36"/>
      <c r="G55" s="36">
        <f>E55-F55</f>
        <v>0</v>
      </c>
    </row>
    <row r="56" spans="1:7" x14ac:dyDescent="0.25">
      <c r="A56" s="29"/>
      <c r="B56" s="29"/>
      <c r="C56" s="29"/>
      <c r="D56" s="29"/>
      <c r="E56" s="44" t="s">
        <v>13</v>
      </c>
      <c r="F56" s="44"/>
      <c r="G56" s="37">
        <f>SUM(G51:G55)</f>
        <v>-6000000</v>
      </c>
    </row>
    <row r="57" spans="1:7" x14ac:dyDescent="0.25">
      <c r="A57" s="38" t="s">
        <v>22</v>
      </c>
      <c r="B57" s="38"/>
      <c r="C57" s="38"/>
      <c r="D57" s="38"/>
      <c r="E57" s="38"/>
      <c r="F57" s="38"/>
      <c r="G57" s="38"/>
    </row>
    <row r="58" spans="1:7" x14ac:dyDescent="0.25">
      <c r="A58" s="30" t="s">
        <v>2</v>
      </c>
      <c r="B58" s="30"/>
      <c r="C58" s="30" t="s">
        <v>3</v>
      </c>
      <c r="D58" s="30"/>
      <c r="E58" s="45"/>
      <c r="F58" s="45"/>
      <c r="G58" s="45"/>
    </row>
    <row r="59" spans="1:7" x14ac:dyDescent="0.25">
      <c r="A59" s="30" t="s">
        <v>4</v>
      </c>
      <c r="B59" s="30"/>
      <c r="C59" s="30" t="s">
        <v>5</v>
      </c>
      <c r="D59" s="30" t="s">
        <v>6</v>
      </c>
      <c r="E59" s="30" t="s">
        <v>7</v>
      </c>
      <c r="F59" s="30" t="s">
        <v>8</v>
      </c>
      <c r="G59" s="30" t="s">
        <v>9</v>
      </c>
    </row>
    <row r="60" spans="1:7" x14ac:dyDescent="0.25">
      <c r="A60" s="32">
        <v>115</v>
      </c>
      <c r="B60" s="32" t="s">
        <v>23</v>
      </c>
      <c r="C60" s="32">
        <v>2026</v>
      </c>
      <c r="D60" s="32">
        <v>58105</v>
      </c>
      <c r="E60" s="36">
        <v>2080550</v>
      </c>
      <c r="F60" s="36">
        <v>9330550</v>
      </c>
      <c r="G60" s="36">
        <f>E60-F60</f>
        <v>-7250000</v>
      </c>
    </row>
    <row r="61" spans="1:7" x14ac:dyDescent="0.25">
      <c r="A61" s="32">
        <v>115</v>
      </c>
      <c r="B61" s="32" t="s">
        <v>23</v>
      </c>
      <c r="C61" s="32">
        <v>2027</v>
      </c>
      <c r="D61" s="32">
        <v>58105</v>
      </c>
      <c r="E61" s="36">
        <v>1030000</v>
      </c>
      <c r="F61" s="36">
        <f>6030000+H61</f>
        <v>6030000</v>
      </c>
      <c r="G61" s="36">
        <f>E61-F61</f>
        <v>-5000000</v>
      </c>
    </row>
    <row r="62" spans="1:7" x14ac:dyDescent="0.25">
      <c r="A62" s="32">
        <v>115</v>
      </c>
      <c r="B62" s="32" t="s">
        <v>23</v>
      </c>
      <c r="C62" s="32">
        <v>2028</v>
      </c>
      <c r="D62" s="32">
        <v>58105</v>
      </c>
      <c r="E62" s="36">
        <v>1030000</v>
      </c>
      <c r="F62" s="36">
        <f>E62+500000</f>
        <v>1530000</v>
      </c>
      <c r="G62" s="36">
        <f>E62-F62</f>
        <v>-500000</v>
      </c>
    </row>
    <row r="63" spans="1:7" x14ac:dyDescent="0.25">
      <c r="A63" s="32">
        <v>115</v>
      </c>
      <c r="B63" s="32" t="s">
        <v>23</v>
      </c>
      <c r="C63" s="32">
        <v>2029</v>
      </c>
      <c r="D63" s="32">
        <v>58105</v>
      </c>
      <c r="E63" s="36">
        <v>1030000</v>
      </c>
      <c r="F63" s="36">
        <f>E63+500000</f>
        <v>1530000</v>
      </c>
      <c r="G63" s="36">
        <f>E63-F63</f>
        <v>-500000</v>
      </c>
    </row>
    <row r="64" spans="1:7" x14ac:dyDescent="0.25">
      <c r="A64" s="32">
        <v>115</v>
      </c>
      <c r="B64" s="32" t="s">
        <v>23</v>
      </c>
      <c r="C64" s="32">
        <v>2030</v>
      </c>
      <c r="D64" s="32">
        <v>58105</v>
      </c>
      <c r="E64" s="36">
        <v>1030000</v>
      </c>
      <c r="F64" s="36">
        <f>E64+500000</f>
        <v>1530000</v>
      </c>
      <c r="G64" s="36">
        <f>E64-F64</f>
        <v>-500000</v>
      </c>
    </row>
    <row r="65" spans="1:7" x14ac:dyDescent="0.25">
      <c r="A65" s="29"/>
      <c r="B65" s="29"/>
      <c r="C65" s="29"/>
      <c r="D65" s="29"/>
      <c r="E65" s="44" t="s">
        <v>13</v>
      </c>
      <c r="F65" s="44"/>
      <c r="G65" s="37">
        <f>SUM(G60:G64)</f>
        <v>-13750000</v>
      </c>
    </row>
    <row r="66" spans="1:7" x14ac:dyDescent="0.25">
      <c r="A66" s="38" t="s">
        <v>24</v>
      </c>
      <c r="B66" s="38"/>
      <c r="C66" s="38"/>
      <c r="D66" s="38"/>
      <c r="E66" s="38"/>
      <c r="F66" s="38"/>
      <c r="G66" s="38"/>
    </row>
    <row r="67" spans="1:7" x14ac:dyDescent="0.25">
      <c r="A67" s="30" t="s">
        <v>2</v>
      </c>
      <c r="B67" s="30"/>
      <c r="C67" s="30" t="s">
        <v>3</v>
      </c>
      <c r="D67" s="30"/>
      <c r="E67" s="50"/>
      <c r="F67" s="51"/>
      <c r="G67" s="52"/>
    </row>
    <row r="68" spans="1:7" x14ac:dyDescent="0.25">
      <c r="A68" s="30" t="s">
        <v>4</v>
      </c>
      <c r="B68" s="30"/>
      <c r="C68" s="30" t="s">
        <v>5</v>
      </c>
      <c r="D68" s="30" t="s">
        <v>6</v>
      </c>
      <c r="E68" s="30" t="s">
        <v>7</v>
      </c>
      <c r="F68" s="30" t="s">
        <v>8</v>
      </c>
      <c r="G68" s="39" t="s">
        <v>9</v>
      </c>
    </row>
    <row r="69" spans="1:7" x14ac:dyDescent="0.25">
      <c r="A69" s="32">
        <v>115</v>
      </c>
      <c r="B69" s="32" t="s">
        <v>23</v>
      </c>
      <c r="C69" s="32">
        <v>2026</v>
      </c>
      <c r="D69" s="32">
        <v>53517</v>
      </c>
      <c r="E69" s="36">
        <v>475000</v>
      </c>
      <c r="F69" s="36">
        <f>E69+500000+H69</f>
        <v>975000</v>
      </c>
      <c r="G69" s="36">
        <f>E69-F69</f>
        <v>-500000</v>
      </c>
    </row>
    <row r="70" spans="1:7" x14ac:dyDescent="0.25">
      <c r="A70" s="32">
        <v>115</v>
      </c>
      <c r="B70" s="32" t="s">
        <v>23</v>
      </c>
      <c r="C70" s="32">
        <v>2027</v>
      </c>
      <c r="D70" s="32">
        <v>53517</v>
      </c>
      <c r="E70" s="36">
        <v>475000</v>
      </c>
      <c r="F70" s="36">
        <f>E70+500000+H70</f>
        <v>975000</v>
      </c>
      <c r="G70" s="36">
        <f>E70-F70</f>
        <v>-500000</v>
      </c>
    </row>
    <row r="71" spans="1:7" x14ac:dyDescent="0.25">
      <c r="A71" s="32">
        <v>115</v>
      </c>
      <c r="B71" s="32" t="s">
        <v>23</v>
      </c>
      <c r="C71" s="32">
        <v>2028</v>
      </c>
      <c r="D71" s="32">
        <v>53517</v>
      </c>
      <c r="E71" s="36">
        <v>475000</v>
      </c>
      <c r="F71" s="36">
        <f t="shared" ref="F71:F73" si="2">E71+500000</f>
        <v>975000</v>
      </c>
      <c r="G71" s="40">
        <f>E71-F71</f>
        <v>-500000</v>
      </c>
    </row>
    <row r="72" spans="1:7" x14ac:dyDescent="0.25">
      <c r="A72" s="32">
        <v>115</v>
      </c>
      <c r="B72" s="32" t="s">
        <v>23</v>
      </c>
      <c r="C72" s="32">
        <v>2029</v>
      </c>
      <c r="D72" s="32">
        <v>53517</v>
      </c>
      <c r="E72" s="36">
        <v>475000</v>
      </c>
      <c r="F72" s="36">
        <f t="shared" si="2"/>
        <v>975000</v>
      </c>
      <c r="G72" s="40">
        <f>E72-F72</f>
        <v>-500000</v>
      </c>
    </row>
    <row r="73" spans="1:7" x14ac:dyDescent="0.25">
      <c r="A73" s="32">
        <v>115</v>
      </c>
      <c r="B73" s="32" t="s">
        <v>23</v>
      </c>
      <c r="C73" s="32">
        <v>2030</v>
      </c>
      <c r="D73" s="32">
        <v>53517</v>
      </c>
      <c r="E73" s="36">
        <v>475000</v>
      </c>
      <c r="F73" s="36">
        <f t="shared" si="2"/>
        <v>975000</v>
      </c>
      <c r="G73" s="40">
        <f>E73-F73</f>
        <v>-500000</v>
      </c>
    </row>
    <row r="74" spans="1:7" x14ac:dyDescent="0.25">
      <c r="A74" s="29"/>
      <c r="B74" s="29"/>
      <c r="C74" s="29"/>
      <c r="D74" s="29"/>
      <c r="E74" s="44" t="s">
        <v>13</v>
      </c>
      <c r="F74" s="44"/>
      <c r="G74" s="37">
        <f>SUM(G69:G73)</f>
        <v>-2500000</v>
      </c>
    </row>
    <row r="75" spans="1:7" x14ac:dyDescent="0.25">
      <c r="A75" s="38" t="s">
        <v>25</v>
      </c>
      <c r="B75" s="38"/>
      <c r="C75" s="38"/>
      <c r="D75" s="38"/>
      <c r="E75" s="38"/>
      <c r="F75" s="38"/>
      <c r="G75" s="38"/>
    </row>
    <row r="76" spans="1:7" x14ac:dyDescent="0.25">
      <c r="A76" s="30" t="s">
        <v>2</v>
      </c>
      <c r="B76" s="30"/>
      <c r="C76" s="30" t="s">
        <v>3</v>
      </c>
      <c r="D76" s="30"/>
      <c r="E76" s="45"/>
      <c r="F76" s="45"/>
      <c r="G76" s="45"/>
    </row>
    <row r="77" spans="1:7" x14ac:dyDescent="0.25">
      <c r="A77" s="30" t="s">
        <v>4</v>
      </c>
      <c r="B77" s="30"/>
      <c r="C77" s="30" t="s">
        <v>5</v>
      </c>
      <c r="D77" s="30" t="s">
        <v>6</v>
      </c>
      <c r="E77" s="30" t="s">
        <v>7</v>
      </c>
      <c r="F77" s="30" t="s">
        <v>8</v>
      </c>
      <c r="G77" s="30" t="s">
        <v>9</v>
      </c>
    </row>
    <row r="78" spans="1:7" x14ac:dyDescent="0.25">
      <c r="A78" s="32">
        <v>72</v>
      </c>
      <c r="B78" s="32" t="s">
        <v>26</v>
      </c>
      <c r="C78" s="32">
        <v>2026</v>
      </c>
      <c r="D78" s="32">
        <v>54105</v>
      </c>
      <c r="E78" s="36">
        <v>0</v>
      </c>
      <c r="F78" s="36">
        <f>300000+H78</f>
        <v>300000</v>
      </c>
      <c r="G78" s="36">
        <f>E78-F78</f>
        <v>-300000</v>
      </c>
    </row>
    <row r="79" spans="1:7" x14ac:dyDescent="0.25">
      <c r="A79" s="32">
        <v>72</v>
      </c>
      <c r="B79" s="32" t="s">
        <v>26</v>
      </c>
      <c r="C79" s="32">
        <v>2027</v>
      </c>
      <c r="D79" s="32">
        <v>54105</v>
      </c>
      <c r="E79" s="36">
        <v>0</v>
      </c>
      <c r="F79" s="36">
        <f>300000+H79</f>
        <v>300000</v>
      </c>
      <c r="G79" s="36">
        <f>E79-F79</f>
        <v>-300000</v>
      </c>
    </row>
    <row r="80" spans="1:7" x14ac:dyDescent="0.25">
      <c r="A80" s="32">
        <v>72</v>
      </c>
      <c r="B80" s="32" t="s">
        <v>26</v>
      </c>
      <c r="C80" s="32">
        <v>2028</v>
      </c>
      <c r="D80" s="32">
        <v>54105</v>
      </c>
      <c r="E80" s="36">
        <v>0</v>
      </c>
      <c r="F80" s="36">
        <v>300000</v>
      </c>
      <c r="G80" s="40">
        <f>E80-F80</f>
        <v>-300000</v>
      </c>
    </row>
    <row r="81" spans="1:7" x14ac:dyDescent="0.25">
      <c r="A81" s="32">
        <v>72</v>
      </c>
      <c r="B81" s="32" t="s">
        <v>26</v>
      </c>
      <c r="C81" s="32">
        <v>2029</v>
      </c>
      <c r="D81" s="32">
        <v>54105</v>
      </c>
      <c r="E81" s="36">
        <v>0</v>
      </c>
      <c r="F81" s="36">
        <v>300000</v>
      </c>
      <c r="G81" s="40">
        <f>E81-F81</f>
        <v>-300000</v>
      </c>
    </row>
    <row r="82" spans="1:7" x14ac:dyDescent="0.25">
      <c r="A82" s="32">
        <v>72</v>
      </c>
      <c r="B82" s="32" t="s">
        <v>26</v>
      </c>
      <c r="C82" s="32">
        <v>2030</v>
      </c>
      <c r="D82" s="32">
        <v>54105</v>
      </c>
      <c r="E82" s="36">
        <v>0</v>
      </c>
      <c r="F82" s="36">
        <v>300000</v>
      </c>
      <c r="G82" s="40">
        <f>E82-F82</f>
        <v>-300000</v>
      </c>
    </row>
    <row r="83" spans="1:7" x14ac:dyDescent="0.25">
      <c r="A83" s="29"/>
      <c r="B83" s="29"/>
      <c r="C83" s="29"/>
      <c r="D83" s="29"/>
      <c r="E83" s="44" t="s">
        <v>13</v>
      </c>
      <c r="F83" s="44"/>
      <c r="G83" s="37">
        <f>SUM(G78:G82)</f>
        <v>-1500000</v>
      </c>
    </row>
    <row r="85" spans="1:7" x14ac:dyDescent="0.25">
      <c r="A85" s="1" t="s">
        <v>27</v>
      </c>
    </row>
    <row r="86" spans="1:7" x14ac:dyDescent="0.25">
      <c r="A86" s="2" t="s">
        <v>2</v>
      </c>
      <c r="B86" s="2" t="s">
        <v>28</v>
      </c>
      <c r="C86" s="2" t="s">
        <v>3</v>
      </c>
      <c r="D86" s="2"/>
      <c r="E86" s="48"/>
      <c r="F86" s="48"/>
      <c r="G86" s="48"/>
    </row>
    <row r="87" spans="1:7" x14ac:dyDescent="0.25">
      <c r="A87" s="2" t="s">
        <v>4</v>
      </c>
      <c r="B87" s="2"/>
      <c r="C87" s="2" t="s">
        <v>5</v>
      </c>
      <c r="D87" s="2" t="s">
        <v>6</v>
      </c>
      <c r="E87" s="2" t="s">
        <v>7</v>
      </c>
      <c r="F87" s="2" t="s">
        <v>8</v>
      </c>
      <c r="G87" s="2" t="s">
        <v>9</v>
      </c>
    </row>
    <row r="88" spans="1:7" x14ac:dyDescent="0.25">
      <c r="A88" s="4">
        <v>45</v>
      </c>
      <c r="B88" s="4" t="s">
        <v>29</v>
      </c>
      <c r="C88" s="4">
        <v>2026</v>
      </c>
      <c r="D88" s="4">
        <v>41441</v>
      </c>
      <c r="E88" s="8">
        <v>77211118</v>
      </c>
      <c r="F88" s="8">
        <f>E88+8000000</f>
        <v>85211118</v>
      </c>
      <c r="G88" s="8">
        <f>F88-E88</f>
        <v>8000000</v>
      </c>
    </row>
    <row r="89" spans="1:7" x14ac:dyDescent="0.25">
      <c r="A89" s="4">
        <v>45</v>
      </c>
      <c r="B89" s="4" t="s">
        <v>29</v>
      </c>
      <c r="C89" s="4">
        <v>2027</v>
      </c>
      <c r="D89" s="4">
        <v>41441</v>
      </c>
      <c r="E89" s="8">
        <v>78678129</v>
      </c>
      <c r="F89" s="8">
        <v>78678129</v>
      </c>
      <c r="G89" s="8">
        <f>F89-E89</f>
        <v>0</v>
      </c>
    </row>
    <row r="90" spans="1:7" x14ac:dyDescent="0.25">
      <c r="A90" s="4">
        <v>45</v>
      </c>
      <c r="B90" s="4" t="s">
        <v>29</v>
      </c>
      <c r="C90" s="4">
        <v>2028</v>
      </c>
      <c r="D90" s="4">
        <v>41441</v>
      </c>
      <c r="E90" s="8">
        <v>80094336</v>
      </c>
      <c r="F90" s="8">
        <v>80094336</v>
      </c>
      <c r="G90" s="8">
        <f>F90-E90</f>
        <v>0</v>
      </c>
    </row>
    <row r="91" spans="1:7" x14ac:dyDescent="0.25">
      <c r="A91" s="4">
        <v>45</v>
      </c>
      <c r="B91" s="4" t="s">
        <v>29</v>
      </c>
      <c r="C91" s="4">
        <v>2029</v>
      </c>
      <c r="D91" s="4">
        <v>41441</v>
      </c>
      <c r="E91" s="8">
        <v>81536034</v>
      </c>
      <c r="F91" s="8">
        <v>81536034</v>
      </c>
      <c r="G91" s="8">
        <f>F91-E91</f>
        <v>0</v>
      </c>
    </row>
    <row r="92" spans="1:7" x14ac:dyDescent="0.25">
      <c r="A92" s="4">
        <v>45</v>
      </c>
      <c r="B92" s="4" t="s">
        <v>29</v>
      </c>
      <c r="C92" s="4">
        <v>2030</v>
      </c>
      <c r="D92" s="4">
        <v>41441</v>
      </c>
      <c r="E92" s="8">
        <v>83085218</v>
      </c>
      <c r="F92" s="8">
        <v>83085218</v>
      </c>
      <c r="G92" s="8">
        <f>F92-E92</f>
        <v>0</v>
      </c>
    </row>
    <row r="93" spans="1:7" x14ac:dyDescent="0.25">
      <c r="E93" s="47" t="s">
        <v>13</v>
      </c>
      <c r="F93" s="47"/>
      <c r="G93" s="9">
        <f>SUM(G88:G92)</f>
        <v>8000000</v>
      </c>
    </row>
    <row r="95" spans="1:7" x14ac:dyDescent="0.25">
      <c r="A95" s="1" t="s">
        <v>30</v>
      </c>
    </row>
    <row r="96" spans="1:7" x14ac:dyDescent="0.25">
      <c r="A96" s="2" t="s">
        <v>2</v>
      </c>
      <c r="B96" s="2"/>
      <c r="C96" s="2" t="s">
        <v>3</v>
      </c>
      <c r="D96" s="2"/>
      <c r="E96" s="48"/>
      <c r="F96" s="48"/>
      <c r="G96" s="48"/>
    </row>
    <row r="97" spans="1:7" x14ac:dyDescent="0.25">
      <c r="A97" s="2" t="s">
        <v>4</v>
      </c>
      <c r="B97" s="2"/>
      <c r="C97" s="2" t="s">
        <v>5</v>
      </c>
      <c r="D97" s="2" t="s">
        <v>6</v>
      </c>
      <c r="E97" s="2" t="s">
        <v>7</v>
      </c>
      <c r="F97" s="2" t="s">
        <v>8</v>
      </c>
      <c r="G97" s="2" t="s">
        <v>9</v>
      </c>
    </row>
    <row r="98" spans="1:7" x14ac:dyDescent="0.25">
      <c r="A98" s="4">
        <v>47</v>
      </c>
      <c r="B98" s="4" t="s">
        <v>29</v>
      </c>
      <c r="C98" s="4">
        <v>2026</v>
      </c>
      <c r="D98" s="4">
        <v>45527</v>
      </c>
      <c r="E98" s="8">
        <v>1868832</v>
      </c>
      <c r="F98" s="8">
        <v>0</v>
      </c>
      <c r="G98" s="8">
        <f>F98-E98</f>
        <v>-1868832</v>
      </c>
    </row>
    <row r="99" spans="1:7" x14ac:dyDescent="0.25">
      <c r="A99" s="4">
        <v>47</v>
      </c>
      <c r="B99" s="4" t="s">
        <v>29</v>
      </c>
      <c r="C99" s="4">
        <v>2027</v>
      </c>
      <c r="D99" s="4">
        <v>45527</v>
      </c>
      <c r="E99" s="8">
        <v>1868832</v>
      </c>
      <c r="F99" s="8">
        <v>1868832</v>
      </c>
      <c r="G99" s="8">
        <f>F99-E99</f>
        <v>0</v>
      </c>
    </row>
    <row r="100" spans="1:7" x14ac:dyDescent="0.25">
      <c r="A100" s="4">
        <v>47</v>
      </c>
      <c r="B100" s="4" t="s">
        <v>29</v>
      </c>
      <c r="C100" s="4">
        <v>2028</v>
      </c>
      <c r="D100" s="4">
        <v>45527</v>
      </c>
      <c r="E100" s="8">
        <v>1868832</v>
      </c>
      <c r="F100" s="8">
        <v>1868832</v>
      </c>
      <c r="G100" s="8">
        <f>F100-E100</f>
        <v>0</v>
      </c>
    </row>
    <row r="101" spans="1:7" x14ac:dyDescent="0.25">
      <c r="A101" s="4">
        <v>47</v>
      </c>
      <c r="B101" s="4" t="s">
        <v>29</v>
      </c>
      <c r="C101" s="4">
        <v>2029</v>
      </c>
      <c r="D101" s="4">
        <v>45527</v>
      </c>
      <c r="E101" s="8">
        <v>1868832</v>
      </c>
      <c r="F101" s="8">
        <v>1868832</v>
      </c>
      <c r="G101" s="8">
        <f>F101-E101</f>
        <v>0</v>
      </c>
    </row>
    <row r="102" spans="1:7" x14ac:dyDescent="0.25">
      <c r="A102" s="4">
        <v>47</v>
      </c>
      <c r="B102" s="4" t="s">
        <v>29</v>
      </c>
      <c r="C102" s="4">
        <v>2030</v>
      </c>
      <c r="D102" s="4">
        <v>45527</v>
      </c>
      <c r="E102" s="8">
        <v>1868832</v>
      </c>
      <c r="F102" s="8">
        <v>1868832</v>
      </c>
      <c r="G102" s="8">
        <f>F102-E102</f>
        <v>0</v>
      </c>
    </row>
    <row r="103" spans="1:7" x14ac:dyDescent="0.25">
      <c r="E103" s="49" t="s">
        <v>13</v>
      </c>
      <c r="F103" s="49"/>
      <c r="G103" s="9">
        <f>SUM(G98:G102)</f>
        <v>-1868832</v>
      </c>
    </row>
    <row r="105" spans="1:7" x14ac:dyDescent="0.25">
      <c r="A105" s="1" t="s">
        <v>31</v>
      </c>
    </row>
    <row r="106" spans="1:7" x14ac:dyDescent="0.25">
      <c r="A106" s="2" t="s">
        <v>2</v>
      </c>
      <c r="B106" s="2"/>
      <c r="C106" s="2" t="s">
        <v>3</v>
      </c>
      <c r="D106" s="2"/>
      <c r="E106" s="48"/>
      <c r="F106" s="48"/>
      <c r="G106" s="48"/>
    </row>
    <row r="107" spans="1:7" x14ac:dyDescent="0.25">
      <c r="A107" s="2" t="s">
        <v>4</v>
      </c>
      <c r="B107" s="2"/>
      <c r="C107" s="2" t="s">
        <v>5</v>
      </c>
      <c r="D107" s="2" t="s">
        <v>6</v>
      </c>
      <c r="E107" s="2" t="s">
        <v>7</v>
      </c>
      <c r="F107" s="2" t="s">
        <v>8</v>
      </c>
      <c r="G107" s="2" t="s">
        <v>9</v>
      </c>
    </row>
    <row r="108" spans="1:7" x14ac:dyDescent="0.25">
      <c r="A108" s="4" t="s">
        <v>32</v>
      </c>
      <c r="B108" s="4" t="s">
        <v>32</v>
      </c>
      <c r="C108" s="4">
        <v>2026</v>
      </c>
      <c r="D108" s="4">
        <v>51101</v>
      </c>
      <c r="E108" s="8">
        <v>239786230</v>
      </c>
      <c r="F108" s="8">
        <v>240885481.91999999</v>
      </c>
      <c r="G108" s="8">
        <f>E108-F108</f>
        <v>-1099251.9199999869</v>
      </c>
    </row>
    <row r="109" spans="1:7" x14ac:dyDescent="0.25">
      <c r="A109" s="4" t="s">
        <v>32</v>
      </c>
      <c r="B109" s="4" t="s">
        <v>32</v>
      </c>
      <c r="C109" s="4">
        <v>2026</v>
      </c>
      <c r="D109" s="4">
        <v>52111</v>
      </c>
      <c r="E109" s="8">
        <v>3732303</v>
      </c>
      <c r="F109" s="8">
        <v>3751793.216</v>
      </c>
      <c r="G109" s="8">
        <f t="shared" ref="G109:G122" si="3">E109-F109</f>
        <v>-19490.216000000015</v>
      </c>
    </row>
    <row r="110" spans="1:7" x14ac:dyDescent="0.25">
      <c r="A110" s="4" t="s">
        <v>32</v>
      </c>
      <c r="B110" s="4" t="s">
        <v>32</v>
      </c>
      <c r="C110" s="4">
        <v>2026</v>
      </c>
      <c r="D110" s="4">
        <v>52201</v>
      </c>
      <c r="E110" s="8">
        <v>12239620</v>
      </c>
      <c r="F110" s="8">
        <v>12325021.52</v>
      </c>
      <c r="G110" s="8">
        <f t="shared" si="3"/>
        <v>-85401.519999999553</v>
      </c>
    </row>
    <row r="111" spans="1:7" x14ac:dyDescent="0.25">
      <c r="A111" s="4" t="s">
        <v>32</v>
      </c>
      <c r="B111" s="4" t="s">
        <v>32</v>
      </c>
      <c r="C111" s="4">
        <v>2027</v>
      </c>
      <c r="D111" s="4">
        <v>51101</v>
      </c>
      <c r="E111" s="8">
        <v>255052323</v>
      </c>
      <c r="F111" s="8">
        <v>256386771.80000001</v>
      </c>
      <c r="G111" s="8">
        <f t="shared" si="3"/>
        <v>-1334448.8000000119</v>
      </c>
    </row>
    <row r="112" spans="1:7" x14ac:dyDescent="0.25">
      <c r="A112" s="4" t="s">
        <v>32</v>
      </c>
      <c r="B112" s="4" t="s">
        <v>32</v>
      </c>
      <c r="C112" s="4">
        <v>2027</v>
      </c>
      <c r="D112" s="4">
        <v>52111</v>
      </c>
      <c r="E112" s="8">
        <v>3751957</v>
      </c>
      <c r="F112" s="8">
        <v>3595313.9750000001</v>
      </c>
      <c r="G112" s="8">
        <f t="shared" si="3"/>
        <v>156643.02499999991</v>
      </c>
    </row>
    <row r="113" spans="1:7" x14ac:dyDescent="0.25">
      <c r="A113" s="4" t="s">
        <v>32</v>
      </c>
      <c r="B113" s="4" t="s">
        <v>32</v>
      </c>
      <c r="C113" s="4">
        <v>2027</v>
      </c>
      <c r="D113" s="4">
        <v>52201</v>
      </c>
      <c r="E113" s="8">
        <v>12562723</v>
      </c>
      <c r="F113" s="8">
        <v>12665368.5</v>
      </c>
      <c r="G113" s="8">
        <f t="shared" si="3"/>
        <v>-102645.5</v>
      </c>
    </row>
    <row r="114" spans="1:7" x14ac:dyDescent="0.25">
      <c r="A114" s="4" t="s">
        <v>32</v>
      </c>
      <c r="B114" s="4" t="s">
        <v>32</v>
      </c>
      <c r="C114" s="4">
        <v>2028</v>
      </c>
      <c r="D114" s="4">
        <v>51101</v>
      </c>
      <c r="E114" s="8">
        <v>265737855</v>
      </c>
      <c r="F114" s="8">
        <v>267411988.46000001</v>
      </c>
      <c r="G114" s="8">
        <f t="shared" si="3"/>
        <v>-1674133.4600000083</v>
      </c>
    </row>
    <row r="115" spans="1:7" x14ac:dyDescent="0.25">
      <c r="A115" s="4" t="s">
        <v>32</v>
      </c>
      <c r="B115" s="4" t="s">
        <v>32</v>
      </c>
      <c r="C115" s="4">
        <v>2028</v>
      </c>
      <c r="D115" s="4">
        <v>52111</v>
      </c>
      <c r="E115" s="8">
        <v>3626269</v>
      </c>
      <c r="F115" s="8">
        <v>3655976.2379999999</v>
      </c>
      <c r="G115" s="8">
        <f t="shared" si="3"/>
        <v>-29707.237999999896</v>
      </c>
    </row>
    <row r="116" spans="1:7" x14ac:dyDescent="0.25">
      <c r="A116" s="4" t="s">
        <v>32</v>
      </c>
      <c r="B116" s="4" t="s">
        <v>32</v>
      </c>
      <c r="C116" s="4">
        <v>2028</v>
      </c>
      <c r="D116" s="4">
        <v>52201</v>
      </c>
      <c r="E116" s="8">
        <v>12900370</v>
      </c>
      <c r="F116" s="8">
        <v>13029418.039999999</v>
      </c>
      <c r="G116" s="8">
        <f t="shared" si="3"/>
        <v>-129048.03999999911</v>
      </c>
    </row>
    <row r="117" spans="1:7" x14ac:dyDescent="0.25">
      <c r="A117" s="4" t="s">
        <v>32</v>
      </c>
      <c r="B117" s="4" t="s">
        <v>32</v>
      </c>
      <c r="C117" s="4">
        <v>2029</v>
      </c>
      <c r="D117" s="4">
        <v>51101</v>
      </c>
      <c r="E117" s="8">
        <v>269336647</v>
      </c>
      <c r="F117" s="8">
        <v>270836911.77000004</v>
      </c>
      <c r="G117" s="8">
        <f t="shared" si="3"/>
        <v>-1500264.7700000405</v>
      </c>
    </row>
    <row r="118" spans="1:7" x14ac:dyDescent="0.25">
      <c r="A118" s="4" t="s">
        <v>32</v>
      </c>
      <c r="B118" s="4" t="s">
        <v>32</v>
      </c>
      <c r="C118" s="4">
        <v>2029</v>
      </c>
      <c r="D118" s="4">
        <v>52111</v>
      </c>
      <c r="E118" s="8">
        <v>3660233</v>
      </c>
      <c r="F118" s="8">
        <v>3686767.2059999998</v>
      </c>
      <c r="G118" s="8">
        <f t="shared" si="3"/>
        <v>-26534.205999999773</v>
      </c>
    </row>
    <row r="119" spans="1:7" x14ac:dyDescent="0.25">
      <c r="A119" s="4" t="s">
        <v>32</v>
      </c>
      <c r="B119" s="4" t="s">
        <v>32</v>
      </c>
      <c r="C119" s="4">
        <v>2029</v>
      </c>
      <c r="D119" s="4">
        <v>52201</v>
      </c>
      <c r="E119" s="8">
        <v>13154646</v>
      </c>
      <c r="F119" s="8">
        <v>13270838.92</v>
      </c>
      <c r="G119" s="8">
        <f t="shared" si="3"/>
        <v>-116192.91999999993</v>
      </c>
    </row>
    <row r="120" spans="1:7" x14ac:dyDescent="0.25">
      <c r="A120" s="4" t="s">
        <v>32</v>
      </c>
      <c r="B120" s="4" t="s">
        <v>32</v>
      </c>
      <c r="C120" s="4">
        <v>2030</v>
      </c>
      <c r="D120" s="4">
        <v>51101</v>
      </c>
      <c r="E120" s="8">
        <v>272695360</v>
      </c>
      <c r="F120" s="8">
        <v>274001524.81</v>
      </c>
      <c r="G120" s="8">
        <f t="shared" si="3"/>
        <v>-1306164.8100000024</v>
      </c>
    </row>
    <row r="121" spans="1:7" x14ac:dyDescent="0.25">
      <c r="A121" s="4" t="s">
        <v>32</v>
      </c>
      <c r="B121" s="4" t="s">
        <v>32</v>
      </c>
      <c r="C121" s="4">
        <v>2030</v>
      </c>
      <c r="D121" s="4">
        <v>52111</v>
      </c>
      <c r="E121" s="8">
        <v>3691404</v>
      </c>
      <c r="F121" s="8">
        <v>3714634.5430000001</v>
      </c>
      <c r="G121" s="8">
        <f t="shared" si="3"/>
        <v>-23230.543000000063</v>
      </c>
    </row>
    <row r="122" spans="1:7" x14ac:dyDescent="0.25">
      <c r="A122" s="4" t="s">
        <v>32</v>
      </c>
      <c r="B122" s="4" t="s">
        <v>32</v>
      </c>
      <c r="C122" s="4">
        <v>2030</v>
      </c>
      <c r="D122" s="4">
        <v>52201</v>
      </c>
      <c r="E122" s="8">
        <v>13320753</v>
      </c>
      <c r="F122" s="8">
        <v>13422124.699999999</v>
      </c>
      <c r="G122" s="8">
        <f t="shared" si="3"/>
        <v>-101371.69999999925</v>
      </c>
    </row>
    <row r="123" spans="1:7" x14ac:dyDescent="0.25">
      <c r="A123" s="4">
        <v>135</v>
      </c>
      <c r="B123" s="4" t="s">
        <v>20</v>
      </c>
      <c r="C123" s="4">
        <v>2026</v>
      </c>
      <c r="D123" s="4">
        <v>51203</v>
      </c>
      <c r="E123" s="8">
        <v>2750000</v>
      </c>
      <c r="F123" s="8">
        <v>1545856.3440000135</v>
      </c>
      <c r="G123" s="8">
        <f>E123-F123</f>
        <v>1204143.6559999865</v>
      </c>
    </row>
    <row r="124" spans="1:7" x14ac:dyDescent="0.25">
      <c r="A124" s="4">
        <v>135</v>
      </c>
      <c r="B124" s="4" t="s">
        <v>20</v>
      </c>
      <c r="C124" s="4">
        <v>2027</v>
      </c>
      <c r="D124" s="4">
        <v>51203</v>
      </c>
      <c r="E124" s="8">
        <v>2750000</v>
      </c>
      <c r="F124" s="8">
        <v>1469548.724999988</v>
      </c>
      <c r="G124" s="8">
        <f>E124-F124</f>
        <v>1280451.275000012</v>
      </c>
    </row>
    <row r="125" spans="1:7" x14ac:dyDescent="0.25">
      <c r="A125" s="4">
        <v>135</v>
      </c>
      <c r="B125" s="4" t="s">
        <v>20</v>
      </c>
      <c r="C125" s="4">
        <v>2028</v>
      </c>
      <c r="D125" s="4">
        <v>51203</v>
      </c>
      <c r="E125" s="8">
        <v>2750000</v>
      </c>
      <c r="F125" s="8">
        <v>917111.26199999265</v>
      </c>
      <c r="G125" s="8">
        <f>E125-F125</f>
        <v>1832888.7380000073</v>
      </c>
    </row>
    <row r="126" spans="1:7" x14ac:dyDescent="0.25">
      <c r="A126" s="4">
        <v>135</v>
      </c>
      <c r="B126" s="4" t="s">
        <v>20</v>
      </c>
      <c r="C126" s="4">
        <v>2029</v>
      </c>
      <c r="D126" s="4">
        <v>51203</v>
      </c>
      <c r="E126" s="8">
        <v>500000</v>
      </c>
      <c r="F126" s="8">
        <v>0</v>
      </c>
      <c r="G126" s="8">
        <f>E126-F126</f>
        <v>500000</v>
      </c>
    </row>
    <row r="127" spans="1:7" x14ac:dyDescent="0.25">
      <c r="A127" s="4">
        <v>135</v>
      </c>
      <c r="B127" s="4" t="s">
        <v>20</v>
      </c>
      <c r="C127" s="4">
        <v>2030</v>
      </c>
      <c r="D127" s="4">
        <v>51203</v>
      </c>
      <c r="E127" s="8">
        <v>500000</v>
      </c>
      <c r="F127" s="8">
        <v>0</v>
      </c>
      <c r="G127" s="8">
        <f>E127-F127</f>
        <v>500000</v>
      </c>
    </row>
    <row r="128" spans="1:7" x14ac:dyDescent="0.25">
      <c r="E128" s="49" t="s">
        <v>13</v>
      </c>
      <c r="F128" s="49"/>
      <c r="G128" s="9">
        <f>SUM(G108:G127)</f>
        <v>-2073758.9490000419</v>
      </c>
    </row>
    <row r="130" spans="1:7" x14ac:dyDescent="0.25">
      <c r="A130" s="1" t="s">
        <v>33</v>
      </c>
    </row>
    <row r="131" spans="1:7" x14ac:dyDescent="0.25">
      <c r="A131" s="2" t="s">
        <v>2</v>
      </c>
      <c r="B131" s="2"/>
      <c r="C131" s="2" t="s">
        <v>3</v>
      </c>
      <c r="D131" s="2"/>
      <c r="E131" s="48"/>
      <c r="F131" s="48"/>
      <c r="G131" s="48"/>
    </row>
    <row r="132" spans="1:7" x14ac:dyDescent="0.25">
      <c r="A132" s="2" t="s">
        <v>4</v>
      </c>
      <c r="B132" s="2"/>
      <c r="C132" s="2" t="s">
        <v>5</v>
      </c>
      <c r="D132" s="2" t="s">
        <v>6</v>
      </c>
      <c r="E132" s="2" t="s">
        <v>7</v>
      </c>
      <c r="F132" s="2" t="s">
        <v>8</v>
      </c>
      <c r="G132" s="2" t="s">
        <v>9</v>
      </c>
    </row>
    <row r="133" spans="1:7" x14ac:dyDescent="0.25">
      <c r="A133" s="4">
        <v>93</v>
      </c>
      <c r="B133" s="4" t="s">
        <v>34</v>
      </c>
      <c r="C133" s="4">
        <v>2026</v>
      </c>
      <c r="D133" s="4">
        <v>51401</v>
      </c>
      <c r="E133" s="8">
        <v>0</v>
      </c>
      <c r="F133" s="8">
        <v>2000</v>
      </c>
      <c r="G133" s="8">
        <f>E133-F133</f>
        <v>-2000</v>
      </c>
    </row>
    <row r="134" spans="1:7" x14ac:dyDescent="0.25">
      <c r="A134" s="4">
        <v>93</v>
      </c>
      <c r="B134" s="4" t="s">
        <v>34</v>
      </c>
      <c r="C134" s="4">
        <v>2027</v>
      </c>
      <c r="D134" s="4">
        <v>51401</v>
      </c>
      <c r="E134" s="8">
        <v>0</v>
      </c>
      <c r="F134" s="8">
        <v>2000</v>
      </c>
      <c r="G134" s="8">
        <f>E134-F134</f>
        <v>-2000</v>
      </c>
    </row>
    <row r="135" spans="1:7" x14ac:dyDescent="0.25">
      <c r="A135" s="4">
        <v>93</v>
      </c>
      <c r="B135" s="4" t="s">
        <v>34</v>
      </c>
      <c r="C135" s="4">
        <v>2028</v>
      </c>
      <c r="D135" s="4">
        <v>51401</v>
      </c>
      <c r="E135" s="8">
        <v>0</v>
      </c>
      <c r="F135" s="8">
        <v>2000</v>
      </c>
      <c r="G135" s="8">
        <f>E135-F135</f>
        <v>-2000</v>
      </c>
    </row>
    <row r="136" spans="1:7" x14ac:dyDescent="0.25">
      <c r="A136" s="4">
        <v>93</v>
      </c>
      <c r="B136" s="4" t="s">
        <v>34</v>
      </c>
      <c r="C136" s="4">
        <v>2029</v>
      </c>
      <c r="D136" s="4">
        <v>51401</v>
      </c>
      <c r="E136" s="8">
        <v>0</v>
      </c>
      <c r="F136" s="8">
        <v>2000</v>
      </c>
      <c r="G136" s="8">
        <f>E136-F136</f>
        <v>-2000</v>
      </c>
    </row>
    <row r="137" spans="1:7" x14ac:dyDescent="0.25">
      <c r="A137" s="4">
        <v>93</v>
      </c>
      <c r="B137" s="4" t="s">
        <v>34</v>
      </c>
      <c r="C137" s="4">
        <v>2030</v>
      </c>
      <c r="D137" s="4">
        <v>51401</v>
      </c>
      <c r="E137" s="8">
        <v>0</v>
      </c>
      <c r="F137" s="8">
        <v>2000</v>
      </c>
      <c r="G137" s="8">
        <f>E137-F137</f>
        <v>-2000</v>
      </c>
    </row>
    <row r="138" spans="1:7" x14ac:dyDescent="0.25">
      <c r="E138" s="49" t="s">
        <v>13</v>
      </c>
      <c r="F138" s="49"/>
      <c r="G138" s="9">
        <f>SUM(G133:G137)</f>
        <v>-10000</v>
      </c>
    </row>
    <row r="140" spans="1:7" x14ac:dyDescent="0.25">
      <c r="A140" s="1" t="s">
        <v>35</v>
      </c>
    </row>
    <row r="141" spans="1:7" x14ac:dyDescent="0.25">
      <c r="A141" s="2" t="s">
        <v>2</v>
      </c>
      <c r="B141" s="2"/>
      <c r="C141" s="2" t="s">
        <v>3</v>
      </c>
      <c r="D141" s="2"/>
      <c r="E141" s="48"/>
      <c r="F141" s="48"/>
      <c r="G141" s="48"/>
    </row>
    <row r="142" spans="1:7" x14ac:dyDescent="0.25">
      <c r="A142" s="2" t="s">
        <v>4</v>
      </c>
      <c r="B142" s="2"/>
      <c r="C142" s="2" t="s">
        <v>5</v>
      </c>
      <c r="D142" s="2" t="s">
        <v>6</v>
      </c>
      <c r="E142" s="2" t="s">
        <v>7</v>
      </c>
      <c r="F142" s="2" t="s">
        <v>8</v>
      </c>
      <c r="G142" s="2" t="s">
        <v>9</v>
      </c>
    </row>
    <row r="143" spans="1:7" x14ac:dyDescent="0.25">
      <c r="A143" s="4">
        <v>246</v>
      </c>
      <c r="B143" s="4" t="s">
        <v>16</v>
      </c>
      <c r="C143" s="4">
        <v>2026</v>
      </c>
      <c r="D143" s="4">
        <v>54201</v>
      </c>
      <c r="E143" s="8">
        <v>1100000</v>
      </c>
      <c r="F143" s="8">
        <f>E143+800000</f>
        <v>1900000</v>
      </c>
      <c r="G143" s="8">
        <f>E143-F143</f>
        <v>-800000</v>
      </c>
    </row>
    <row r="144" spans="1:7" x14ac:dyDescent="0.25">
      <c r="A144" s="4">
        <v>246</v>
      </c>
      <c r="B144" s="4" t="s">
        <v>16</v>
      </c>
      <c r="C144" s="4">
        <v>2027</v>
      </c>
      <c r="D144" s="4">
        <v>54201</v>
      </c>
      <c r="E144" s="8">
        <v>1100000</v>
      </c>
      <c r="F144" s="8">
        <f>E144+800000</f>
        <v>1900000</v>
      </c>
      <c r="G144" s="8">
        <f>E144-F144</f>
        <v>-800000</v>
      </c>
    </row>
    <row r="145" spans="1:7" x14ac:dyDescent="0.25">
      <c r="A145" s="4">
        <v>246</v>
      </c>
      <c r="B145" s="4" t="s">
        <v>16</v>
      </c>
      <c r="C145" s="4">
        <v>2028</v>
      </c>
      <c r="D145" s="4">
        <v>54201</v>
      </c>
      <c r="E145" s="8">
        <v>1100000</v>
      </c>
      <c r="F145" s="8">
        <f>E145+800000</f>
        <v>1900000</v>
      </c>
      <c r="G145" s="8">
        <f>E145-F145</f>
        <v>-800000</v>
      </c>
    </row>
    <row r="146" spans="1:7" x14ac:dyDescent="0.25">
      <c r="A146" s="4">
        <v>246</v>
      </c>
      <c r="B146" s="4" t="s">
        <v>16</v>
      </c>
      <c r="C146" s="4">
        <v>2029</v>
      </c>
      <c r="D146" s="4">
        <v>54201</v>
      </c>
      <c r="E146" s="8">
        <v>1100000</v>
      </c>
      <c r="F146" s="8">
        <f>E146+700000</f>
        <v>1800000</v>
      </c>
      <c r="G146" s="8">
        <f>E146-F146</f>
        <v>-700000</v>
      </c>
    </row>
    <row r="147" spans="1:7" x14ac:dyDescent="0.25">
      <c r="A147" s="4">
        <v>246</v>
      </c>
      <c r="B147" s="4" t="s">
        <v>16</v>
      </c>
      <c r="C147" s="4">
        <v>2030</v>
      </c>
      <c r="D147" s="4">
        <v>54201</v>
      </c>
      <c r="E147" s="8">
        <v>1100000</v>
      </c>
      <c r="F147" s="8">
        <f>E147+700000</f>
        <v>1800000</v>
      </c>
      <c r="G147" s="8">
        <f>E147-F147</f>
        <v>-700000</v>
      </c>
    </row>
    <row r="148" spans="1:7" x14ac:dyDescent="0.25">
      <c r="E148" s="49" t="s">
        <v>13</v>
      </c>
      <c r="F148" s="49"/>
      <c r="G148" s="9">
        <f>SUM(G143:G147)</f>
        <v>-3800000</v>
      </c>
    </row>
    <row r="150" spans="1:7" x14ac:dyDescent="0.25">
      <c r="A150" s="1" t="s">
        <v>36</v>
      </c>
    </row>
    <row r="151" spans="1:7" x14ac:dyDescent="0.25">
      <c r="A151" s="2" t="s">
        <v>2</v>
      </c>
      <c r="B151" s="2"/>
      <c r="C151" s="2" t="s">
        <v>3</v>
      </c>
      <c r="D151" s="2"/>
      <c r="E151" s="48"/>
      <c r="F151" s="48"/>
      <c r="G151" s="48"/>
    </row>
    <row r="152" spans="1:7" x14ac:dyDescent="0.25">
      <c r="A152" s="2" t="s">
        <v>4</v>
      </c>
      <c r="B152" s="2"/>
      <c r="C152" s="2" t="s">
        <v>5</v>
      </c>
      <c r="D152" s="2" t="s">
        <v>6</v>
      </c>
      <c r="E152" s="2" t="s">
        <v>7</v>
      </c>
      <c r="F152" s="2" t="s">
        <v>8</v>
      </c>
      <c r="G152" s="2" t="s">
        <v>9</v>
      </c>
    </row>
    <row r="153" spans="1:7" x14ac:dyDescent="0.25">
      <c r="A153" s="4">
        <v>246</v>
      </c>
      <c r="B153" s="4" t="s">
        <v>16</v>
      </c>
      <c r="C153" s="4">
        <v>2026</v>
      </c>
      <c r="D153" s="4">
        <v>51401</v>
      </c>
      <c r="E153" s="8">
        <v>146901</v>
      </c>
      <c r="F153" s="8">
        <f>E153+100000</f>
        <v>246901</v>
      </c>
      <c r="G153" s="8">
        <f>E153-F153</f>
        <v>-100000</v>
      </c>
    </row>
    <row r="154" spans="1:7" x14ac:dyDescent="0.25">
      <c r="A154" s="4">
        <v>246</v>
      </c>
      <c r="B154" s="4" t="s">
        <v>16</v>
      </c>
      <c r="C154" s="4">
        <v>2027</v>
      </c>
      <c r="D154" s="4">
        <v>51401</v>
      </c>
      <c r="E154" s="8">
        <v>146901</v>
      </c>
      <c r="F154" s="8">
        <f>E154+100000</f>
        <v>246901</v>
      </c>
      <c r="G154" s="8">
        <f>E154-F154</f>
        <v>-100000</v>
      </c>
    </row>
    <row r="155" spans="1:7" x14ac:dyDescent="0.25">
      <c r="A155" s="4">
        <v>246</v>
      </c>
      <c r="B155" s="4" t="s">
        <v>16</v>
      </c>
      <c r="C155" s="4">
        <v>2028</v>
      </c>
      <c r="D155" s="4">
        <v>51401</v>
      </c>
      <c r="E155" s="8">
        <v>146901</v>
      </c>
      <c r="F155" s="8">
        <f>E155+100000</f>
        <v>246901</v>
      </c>
      <c r="G155" s="8">
        <f>E155-F155</f>
        <v>-100000</v>
      </c>
    </row>
    <row r="156" spans="1:7" x14ac:dyDescent="0.25">
      <c r="A156" s="4">
        <v>246</v>
      </c>
      <c r="B156" s="4" t="s">
        <v>16</v>
      </c>
      <c r="C156" s="4">
        <v>2029</v>
      </c>
      <c r="D156" s="4">
        <v>51401</v>
      </c>
      <c r="E156" s="8">
        <v>146901</v>
      </c>
      <c r="F156" s="8">
        <f>E156+100000</f>
        <v>246901</v>
      </c>
      <c r="G156" s="8">
        <f>E156-F156</f>
        <v>-100000</v>
      </c>
    </row>
    <row r="157" spans="1:7" x14ac:dyDescent="0.25">
      <c r="A157" s="4">
        <v>246</v>
      </c>
      <c r="B157" s="4" t="s">
        <v>16</v>
      </c>
      <c r="C157" s="4">
        <v>2030</v>
      </c>
      <c r="D157" s="4">
        <v>51401</v>
      </c>
      <c r="E157" s="8">
        <v>146901</v>
      </c>
      <c r="F157" s="8">
        <f>E157+100000</f>
        <v>246901</v>
      </c>
      <c r="G157" s="8">
        <f>E157-F157</f>
        <v>-100000</v>
      </c>
    </row>
    <row r="158" spans="1:7" x14ac:dyDescent="0.25">
      <c r="E158" s="49" t="s">
        <v>13</v>
      </c>
      <c r="F158" s="49"/>
      <c r="G158" s="9">
        <f>SUM(G153:G157)</f>
        <v>-500000</v>
      </c>
    </row>
    <row r="160" spans="1:7" x14ac:dyDescent="0.25">
      <c r="A160" s="1" t="s">
        <v>37</v>
      </c>
    </row>
    <row r="161" spans="1:7" x14ac:dyDescent="0.25">
      <c r="A161" s="2" t="s">
        <v>2</v>
      </c>
      <c r="B161" s="2"/>
      <c r="C161" s="2" t="s">
        <v>3</v>
      </c>
      <c r="D161" s="2"/>
      <c r="E161" s="48"/>
      <c r="F161" s="48"/>
      <c r="G161" s="48"/>
    </row>
    <row r="162" spans="1:7" x14ac:dyDescent="0.25">
      <c r="A162" s="2" t="s">
        <v>4</v>
      </c>
      <c r="B162" s="2"/>
      <c r="C162" s="2" t="s">
        <v>5</v>
      </c>
      <c r="D162" s="2" t="s">
        <v>6</v>
      </c>
      <c r="E162" s="2" t="s">
        <v>7</v>
      </c>
      <c r="F162" s="2" t="s">
        <v>8</v>
      </c>
      <c r="G162" s="2" t="s">
        <v>9</v>
      </c>
    </row>
    <row r="163" spans="1:7" x14ac:dyDescent="0.25">
      <c r="A163" s="4">
        <v>246</v>
      </c>
      <c r="B163" s="4" t="s">
        <v>16</v>
      </c>
      <c r="C163" s="4">
        <v>2026</v>
      </c>
      <c r="D163" s="4">
        <v>54513</v>
      </c>
      <c r="E163" s="8">
        <v>1868832</v>
      </c>
      <c r="F163" s="8">
        <v>840000</v>
      </c>
      <c r="G163" s="8">
        <f>E163-F163</f>
        <v>1028832</v>
      </c>
    </row>
    <row r="164" spans="1:7" x14ac:dyDescent="0.25">
      <c r="A164" s="4">
        <v>247</v>
      </c>
      <c r="B164" s="4" t="s">
        <v>16</v>
      </c>
      <c r="C164" s="4">
        <v>2027</v>
      </c>
      <c r="D164" s="4">
        <v>54513</v>
      </c>
      <c r="E164" s="8">
        <v>1868832</v>
      </c>
      <c r="F164" s="8">
        <v>1868832</v>
      </c>
      <c r="G164" s="8">
        <f>E164-F164</f>
        <v>0</v>
      </c>
    </row>
    <row r="165" spans="1:7" x14ac:dyDescent="0.25">
      <c r="A165" s="4">
        <v>248</v>
      </c>
      <c r="B165" s="4" t="s">
        <v>16</v>
      </c>
      <c r="C165" s="4">
        <v>2028</v>
      </c>
      <c r="D165" s="4">
        <v>54513</v>
      </c>
      <c r="E165" s="8">
        <v>1868832</v>
      </c>
      <c r="F165" s="8">
        <v>1868832</v>
      </c>
      <c r="G165" s="8">
        <f>E165-F165</f>
        <v>0</v>
      </c>
    </row>
    <row r="166" spans="1:7" x14ac:dyDescent="0.25">
      <c r="A166" s="4">
        <v>249</v>
      </c>
      <c r="B166" s="4" t="s">
        <v>16</v>
      </c>
      <c r="C166" s="4">
        <v>2029</v>
      </c>
      <c r="D166" s="4">
        <v>54513</v>
      </c>
      <c r="E166" s="8">
        <v>1868832</v>
      </c>
      <c r="F166" s="8">
        <v>1868832</v>
      </c>
      <c r="G166" s="8">
        <f>E166-F166</f>
        <v>0</v>
      </c>
    </row>
    <row r="167" spans="1:7" x14ac:dyDescent="0.25">
      <c r="A167" s="4">
        <v>250</v>
      </c>
      <c r="B167" s="4" t="s">
        <v>16</v>
      </c>
      <c r="C167" s="4">
        <v>2030</v>
      </c>
      <c r="D167" s="4">
        <v>54513</v>
      </c>
      <c r="E167" s="8">
        <v>1868832</v>
      </c>
      <c r="F167" s="8">
        <v>1868832</v>
      </c>
      <c r="G167" s="8">
        <f>E167-F167</f>
        <v>0</v>
      </c>
    </row>
    <row r="168" spans="1:7" x14ac:dyDescent="0.25">
      <c r="E168" s="49" t="s">
        <v>13</v>
      </c>
      <c r="F168" s="49"/>
      <c r="G168" s="9">
        <f>SUM(G163:G167)</f>
        <v>1028832</v>
      </c>
    </row>
    <row r="170" spans="1:7" x14ac:dyDescent="0.25">
      <c r="A170" s="1" t="s">
        <v>38</v>
      </c>
    </row>
    <row r="171" spans="1:7" x14ac:dyDescent="0.25">
      <c r="A171" s="2" t="s">
        <v>2</v>
      </c>
      <c r="B171" s="2"/>
      <c r="C171" s="2" t="s">
        <v>3</v>
      </c>
      <c r="D171" s="2"/>
      <c r="E171" s="48"/>
      <c r="F171" s="48"/>
      <c r="G171" s="48"/>
    </row>
    <row r="172" spans="1:7" x14ac:dyDescent="0.25">
      <c r="A172" s="2" t="s">
        <v>4</v>
      </c>
      <c r="B172" s="2"/>
      <c r="C172" s="2" t="s">
        <v>5</v>
      </c>
      <c r="D172" s="2" t="s">
        <v>6</v>
      </c>
      <c r="E172" s="2" t="s">
        <v>7</v>
      </c>
      <c r="F172" s="2" t="s">
        <v>8</v>
      </c>
      <c r="G172" s="2" t="s">
        <v>9</v>
      </c>
    </row>
    <row r="173" spans="1:7" x14ac:dyDescent="0.25">
      <c r="A173" s="4">
        <v>210</v>
      </c>
      <c r="B173" s="4" t="s">
        <v>39</v>
      </c>
      <c r="C173" s="4">
        <v>2026</v>
      </c>
      <c r="D173" s="4">
        <v>54603</v>
      </c>
      <c r="E173" s="8">
        <v>1200000</v>
      </c>
      <c r="F173" s="8">
        <f>1200000+300000</f>
        <v>1500000</v>
      </c>
      <c r="G173" s="8">
        <f>E173-F173</f>
        <v>-300000</v>
      </c>
    </row>
    <row r="174" spans="1:7" x14ac:dyDescent="0.25">
      <c r="E174" s="49" t="s">
        <v>13</v>
      </c>
      <c r="F174" s="49"/>
      <c r="G174" s="9">
        <f>SUM(G173)</f>
        <v>-300000</v>
      </c>
    </row>
    <row r="176" spans="1:7" x14ac:dyDescent="0.25">
      <c r="A176" s="1" t="s">
        <v>40</v>
      </c>
    </row>
    <row r="177" spans="1:7" x14ac:dyDescent="0.25">
      <c r="A177" s="2" t="s">
        <v>2</v>
      </c>
      <c r="B177" s="2"/>
      <c r="C177" s="2" t="s">
        <v>3</v>
      </c>
      <c r="D177" s="2"/>
      <c r="E177" s="48"/>
      <c r="F177" s="48"/>
      <c r="G177" s="48"/>
    </row>
    <row r="178" spans="1:7" x14ac:dyDescent="0.25">
      <c r="A178" s="2" t="s">
        <v>4</v>
      </c>
      <c r="B178" s="2"/>
      <c r="C178" s="2" t="s">
        <v>5</v>
      </c>
      <c r="D178" s="2" t="s">
        <v>6</v>
      </c>
      <c r="E178" s="2" t="s">
        <v>7</v>
      </c>
      <c r="F178" s="2" t="s">
        <v>8</v>
      </c>
      <c r="G178" s="2" t="s">
        <v>9</v>
      </c>
    </row>
    <row r="179" spans="1:7" x14ac:dyDescent="0.25">
      <c r="A179" s="4">
        <v>215</v>
      </c>
      <c r="B179" s="4" t="s">
        <v>41</v>
      </c>
      <c r="C179" s="4" t="s">
        <v>3</v>
      </c>
      <c r="D179" s="4">
        <v>51401</v>
      </c>
      <c r="E179" s="8">
        <v>1544513</v>
      </c>
      <c r="F179" s="8">
        <f>E179+500000</f>
        <v>2044513</v>
      </c>
      <c r="G179" s="8">
        <f>E179-F179</f>
        <v>-500000</v>
      </c>
    </row>
    <row r="180" spans="1:7" x14ac:dyDescent="0.25">
      <c r="A180" s="4"/>
      <c r="B180" s="4"/>
      <c r="C180" s="4"/>
      <c r="D180" s="4"/>
      <c r="E180" s="8"/>
      <c r="F180" s="8"/>
      <c r="G180" s="8"/>
    </row>
    <row r="181" spans="1:7" x14ac:dyDescent="0.25">
      <c r="E181" s="49" t="s">
        <v>13</v>
      </c>
      <c r="F181" s="49"/>
      <c r="G181" s="9">
        <f>SUM(G179:G180)</f>
        <v>-500000</v>
      </c>
    </row>
    <row r="183" spans="1:7" x14ac:dyDescent="0.25">
      <c r="A183" s="1" t="s">
        <v>42</v>
      </c>
    </row>
    <row r="184" spans="1:7" x14ac:dyDescent="0.25">
      <c r="A184" s="2" t="s">
        <v>2</v>
      </c>
      <c r="B184" s="2"/>
      <c r="C184" s="2" t="s">
        <v>3</v>
      </c>
      <c r="D184" s="2"/>
      <c r="E184" s="48"/>
      <c r="F184" s="48"/>
      <c r="G184" s="48"/>
    </row>
    <row r="185" spans="1:7" x14ac:dyDescent="0.25">
      <c r="A185" s="2" t="s">
        <v>4</v>
      </c>
      <c r="B185" s="2"/>
      <c r="C185" s="2" t="s">
        <v>5</v>
      </c>
      <c r="D185" s="2" t="s">
        <v>6</v>
      </c>
      <c r="E185" s="2" t="s">
        <v>7</v>
      </c>
      <c r="F185" s="2" t="s">
        <v>8</v>
      </c>
      <c r="G185" s="2" t="s">
        <v>9</v>
      </c>
    </row>
    <row r="186" spans="1:7" x14ac:dyDescent="0.25">
      <c r="A186" s="4">
        <v>215</v>
      </c>
      <c r="B186" s="4" t="s">
        <v>41</v>
      </c>
      <c r="C186" s="4">
        <v>2026</v>
      </c>
      <c r="D186" s="4">
        <v>53901</v>
      </c>
      <c r="E186" s="8">
        <v>0</v>
      </c>
      <c r="F186" s="8">
        <v>1706755.89</v>
      </c>
      <c r="G186" s="8">
        <f>E186-F186</f>
        <v>-1706755.89</v>
      </c>
    </row>
    <row r="187" spans="1:7" x14ac:dyDescent="0.25">
      <c r="E187" s="49" t="s">
        <v>13</v>
      </c>
      <c r="F187" s="49"/>
      <c r="G187" s="9">
        <f>SUM(G186)</f>
        <v>-1706755.89</v>
      </c>
    </row>
    <row r="189" spans="1:7" x14ac:dyDescent="0.25">
      <c r="A189" s="1" t="s">
        <v>43</v>
      </c>
    </row>
    <row r="190" spans="1:7" x14ac:dyDescent="0.25">
      <c r="A190" s="2" t="s">
        <v>2</v>
      </c>
      <c r="B190" s="2"/>
      <c r="C190" s="2" t="s">
        <v>3</v>
      </c>
      <c r="D190" s="2"/>
      <c r="E190" s="48"/>
      <c r="F190" s="48"/>
      <c r="G190" s="48"/>
    </row>
    <row r="191" spans="1:7" x14ac:dyDescent="0.25">
      <c r="A191" s="2" t="s">
        <v>4</v>
      </c>
      <c r="B191" s="2"/>
      <c r="C191" s="2" t="s">
        <v>5</v>
      </c>
      <c r="D191" s="2" t="s">
        <v>6</v>
      </c>
      <c r="E191" s="2" t="s">
        <v>7</v>
      </c>
      <c r="F191" s="2" t="s">
        <v>8</v>
      </c>
      <c r="G191" s="2" t="s">
        <v>9</v>
      </c>
    </row>
    <row r="192" spans="1:7" x14ac:dyDescent="0.25">
      <c r="A192" s="4">
        <v>215</v>
      </c>
      <c r="B192" s="4" t="s">
        <v>41</v>
      </c>
      <c r="C192" s="4">
        <v>2026</v>
      </c>
      <c r="D192" s="4">
        <v>51101</v>
      </c>
      <c r="E192" s="8">
        <v>0</v>
      </c>
      <c r="F192" s="13">
        <v>65229</v>
      </c>
      <c r="G192" s="8">
        <f>E192-F192</f>
        <v>-65229</v>
      </c>
    </row>
    <row r="193" spans="1:7" x14ac:dyDescent="0.25">
      <c r="A193" s="4">
        <v>215</v>
      </c>
      <c r="B193" s="4" t="s">
        <v>41</v>
      </c>
      <c r="C193" s="4">
        <v>2026</v>
      </c>
      <c r="D193" s="4">
        <v>51205</v>
      </c>
      <c r="E193" s="8">
        <v>0</v>
      </c>
      <c r="F193" s="8">
        <v>650</v>
      </c>
      <c r="G193" s="8">
        <f t="shared" ref="G193:G216" si="4">E193-F193</f>
        <v>-650</v>
      </c>
    </row>
    <row r="194" spans="1:7" x14ac:dyDescent="0.25">
      <c r="A194" s="4">
        <v>215</v>
      </c>
      <c r="B194" s="4" t="s">
        <v>41</v>
      </c>
      <c r="C194" s="4">
        <v>2026</v>
      </c>
      <c r="D194" s="4">
        <v>52101</v>
      </c>
      <c r="E194" s="8">
        <v>0</v>
      </c>
      <c r="F194" s="8">
        <f>116+7175+24</f>
        <v>7315</v>
      </c>
      <c r="G194" s="8">
        <f t="shared" si="4"/>
        <v>-7315</v>
      </c>
    </row>
    <row r="195" spans="1:7" x14ac:dyDescent="0.25">
      <c r="A195" s="4">
        <v>215</v>
      </c>
      <c r="B195" s="4" t="s">
        <v>41</v>
      </c>
      <c r="C195" s="4">
        <v>2026</v>
      </c>
      <c r="D195" s="4">
        <v>52111</v>
      </c>
      <c r="E195" s="8">
        <v>0</v>
      </c>
      <c r="F195" s="13">
        <f>23+99+511+581</f>
        <v>1214</v>
      </c>
      <c r="G195" s="8">
        <f t="shared" si="4"/>
        <v>-1214</v>
      </c>
    </row>
    <row r="196" spans="1:7" x14ac:dyDescent="0.25">
      <c r="A196" s="4">
        <v>215</v>
      </c>
      <c r="B196" s="4" t="s">
        <v>41</v>
      </c>
      <c r="C196" s="4">
        <v>2026</v>
      </c>
      <c r="D196" s="4">
        <v>52201</v>
      </c>
      <c r="E196" s="8">
        <v>0</v>
      </c>
      <c r="F196" s="13">
        <f>955+4084</f>
        <v>5039</v>
      </c>
      <c r="G196" s="8">
        <f t="shared" si="4"/>
        <v>-5039</v>
      </c>
    </row>
    <row r="197" spans="1:7" x14ac:dyDescent="0.25">
      <c r="A197" s="4">
        <v>215</v>
      </c>
      <c r="B197" s="4" t="s">
        <v>41</v>
      </c>
      <c r="C197" s="4">
        <v>2027</v>
      </c>
      <c r="D197" s="4">
        <v>51101</v>
      </c>
      <c r="E197" s="8">
        <v>0</v>
      </c>
      <c r="F197" s="13">
        <v>67829</v>
      </c>
      <c r="G197" s="8">
        <f t="shared" si="4"/>
        <v>-67829</v>
      </c>
    </row>
    <row r="198" spans="1:7" x14ac:dyDescent="0.25">
      <c r="A198" s="4">
        <v>215</v>
      </c>
      <c r="B198" s="4" t="s">
        <v>41</v>
      </c>
      <c r="C198" s="4">
        <v>2027</v>
      </c>
      <c r="D198" s="4">
        <v>51205</v>
      </c>
      <c r="E198" s="8">
        <v>0</v>
      </c>
      <c r="F198" s="13">
        <v>650</v>
      </c>
      <c r="G198" s="8">
        <f t="shared" si="4"/>
        <v>-650</v>
      </c>
    </row>
    <row r="199" spans="1:7" x14ac:dyDescent="0.25">
      <c r="A199" s="4">
        <v>215</v>
      </c>
      <c r="B199" s="4" t="s">
        <v>41</v>
      </c>
      <c r="C199" s="4">
        <v>2027</v>
      </c>
      <c r="D199" s="4">
        <v>52101</v>
      </c>
      <c r="E199" s="8">
        <v>0</v>
      </c>
      <c r="F199" s="8">
        <f>116+222+7175+24</f>
        <v>7537</v>
      </c>
      <c r="G199" s="8">
        <f t="shared" si="4"/>
        <v>-7537</v>
      </c>
    </row>
    <row r="200" spans="1:7" x14ac:dyDescent="0.25">
      <c r="A200" s="4">
        <v>215</v>
      </c>
      <c r="B200" s="4" t="s">
        <v>41</v>
      </c>
      <c r="C200" s="4">
        <v>2027</v>
      </c>
      <c r="D200" s="4">
        <v>52111</v>
      </c>
      <c r="E200" s="8">
        <v>0</v>
      </c>
      <c r="F200" s="13">
        <f>24+103+532+604</f>
        <v>1263</v>
      </c>
      <c r="G200" s="8">
        <f t="shared" si="4"/>
        <v>-1263</v>
      </c>
    </row>
    <row r="201" spans="1:7" x14ac:dyDescent="0.25">
      <c r="A201" s="4">
        <v>215</v>
      </c>
      <c r="B201" s="4" t="s">
        <v>41</v>
      </c>
      <c r="C201" s="4">
        <v>2027</v>
      </c>
      <c r="D201" s="4">
        <v>52201</v>
      </c>
      <c r="E201" s="8">
        <v>0</v>
      </c>
      <c r="F201" s="13">
        <f>993+4246</f>
        <v>5239</v>
      </c>
      <c r="G201" s="8">
        <f t="shared" si="4"/>
        <v>-5239</v>
      </c>
    </row>
    <row r="202" spans="1:7" x14ac:dyDescent="0.25">
      <c r="A202" s="4">
        <v>215</v>
      </c>
      <c r="B202" s="4" t="s">
        <v>41</v>
      </c>
      <c r="C202" s="4">
        <v>2028</v>
      </c>
      <c r="D202" s="4">
        <v>51101</v>
      </c>
      <c r="E202" s="8">
        <v>0</v>
      </c>
      <c r="F202" s="13">
        <v>70533</v>
      </c>
      <c r="G202" s="8">
        <f t="shared" si="4"/>
        <v>-70533</v>
      </c>
    </row>
    <row r="203" spans="1:7" x14ac:dyDescent="0.25">
      <c r="A203" s="4">
        <v>215</v>
      </c>
      <c r="B203" s="4" t="s">
        <v>41</v>
      </c>
      <c r="C203" s="4">
        <v>2028</v>
      </c>
      <c r="D203" s="4">
        <v>51205</v>
      </c>
      <c r="E203" s="8">
        <v>0</v>
      </c>
      <c r="F203" s="13">
        <v>650</v>
      </c>
      <c r="G203" s="8">
        <f t="shared" si="4"/>
        <v>-650</v>
      </c>
    </row>
    <row r="204" spans="1:7" x14ac:dyDescent="0.25">
      <c r="A204" s="4">
        <v>215</v>
      </c>
      <c r="B204" s="4" t="s">
        <v>41</v>
      </c>
      <c r="C204" s="4">
        <v>2028</v>
      </c>
      <c r="D204" s="4">
        <v>52101</v>
      </c>
      <c r="E204" s="8">
        <v>0</v>
      </c>
      <c r="F204" s="8">
        <f>116+452+7175+24</f>
        <v>7767</v>
      </c>
      <c r="G204" s="8">
        <f t="shared" si="4"/>
        <v>-7767</v>
      </c>
    </row>
    <row r="205" spans="1:7" x14ac:dyDescent="0.25">
      <c r="A205" s="4">
        <v>215</v>
      </c>
      <c r="B205" s="4" t="s">
        <v>41</v>
      </c>
      <c r="C205" s="4">
        <v>2028</v>
      </c>
      <c r="D205" s="4">
        <v>52111</v>
      </c>
      <c r="E205" s="8">
        <v>0</v>
      </c>
      <c r="F205" s="13">
        <f>25+107+553+628</f>
        <v>1313</v>
      </c>
      <c r="G205" s="8">
        <f t="shared" si="4"/>
        <v>-1313</v>
      </c>
    </row>
    <row r="206" spans="1:7" x14ac:dyDescent="0.25">
      <c r="A206" s="4">
        <v>215</v>
      </c>
      <c r="B206" s="4" t="s">
        <v>41</v>
      </c>
      <c r="C206" s="4">
        <v>2028</v>
      </c>
      <c r="D206" s="4">
        <v>52201</v>
      </c>
      <c r="E206" s="8">
        <v>0</v>
      </c>
      <c r="F206" s="13">
        <f>1032+4413</f>
        <v>5445</v>
      </c>
      <c r="G206" s="8">
        <f t="shared" si="4"/>
        <v>-5445</v>
      </c>
    </row>
    <row r="207" spans="1:7" x14ac:dyDescent="0.25">
      <c r="A207" s="4">
        <v>215</v>
      </c>
      <c r="B207" s="4" t="s">
        <v>41</v>
      </c>
      <c r="C207" s="4">
        <v>2029</v>
      </c>
      <c r="D207" s="4">
        <v>51101</v>
      </c>
      <c r="E207" s="8">
        <v>0</v>
      </c>
      <c r="F207" s="13">
        <v>71240</v>
      </c>
      <c r="G207" s="8">
        <f t="shared" si="4"/>
        <v>-71240</v>
      </c>
    </row>
    <row r="208" spans="1:7" x14ac:dyDescent="0.25">
      <c r="A208" s="4">
        <v>215</v>
      </c>
      <c r="B208" s="4" t="s">
        <v>41</v>
      </c>
      <c r="C208" s="4">
        <v>2029</v>
      </c>
      <c r="D208" s="4">
        <v>51205</v>
      </c>
      <c r="E208" s="8">
        <v>0</v>
      </c>
      <c r="F208" s="13">
        <v>650</v>
      </c>
      <c r="G208" s="8">
        <f t="shared" si="4"/>
        <v>-650</v>
      </c>
    </row>
    <row r="209" spans="1:7" x14ac:dyDescent="0.25">
      <c r="A209" s="4">
        <v>215</v>
      </c>
      <c r="B209" s="4" t="s">
        <v>41</v>
      </c>
      <c r="C209" s="4">
        <v>2029</v>
      </c>
      <c r="D209" s="4">
        <v>52101</v>
      </c>
      <c r="E209" s="8">
        <v>0</v>
      </c>
      <c r="F209" s="8">
        <f>116+688+7175+24</f>
        <v>8003</v>
      </c>
      <c r="G209" s="8">
        <f t="shared" si="4"/>
        <v>-8003</v>
      </c>
    </row>
    <row r="210" spans="1:7" x14ac:dyDescent="0.25">
      <c r="A210" s="4">
        <v>215</v>
      </c>
      <c r="B210" s="4" t="s">
        <v>41</v>
      </c>
      <c r="C210" s="4">
        <v>2029</v>
      </c>
      <c r="D210" s="4">
        <v>52111</v>
      </c>
      <c r="E210" s="8">
        <v>0</v>
      </c>
      <c r="F210" s="13">
        <f>26+109+559+634</f>
        <v>1328</v>
      </c>
      <c r="G210" s="8">
        <f t="shared" si="4"/>
        <v>-1328</v>
      </c>
    </row>
    <row r="211" spans="1:7" x14ac:dyDescent="0.25">
      <c r="A211" s="4">
        <v>215</v>
      </c>
      <c r="B211" s="4" t="s">
        <v>41</v>
      </c>
      <c r="C211" s="4">
        <v>2029</v>
      </c>
      <c r="D211" s="4">
        <v>52201</v>
      </c>
      <c r="E211" s="8">
        <v>0</v>
      </c>
      <c r="F211" s="13">
        <f>1042+4457</f>
        <v>5499</v>
      </c>
      <c r="G211" s="8">
        <f t="shared" si="4"/>
        <v>-5499</v>
      </c>
    </row>
    <row r="212" spans="1:7" x14ac:dyDescent="0.25">
      <c r="A212" s="4">
        <v>215</v>
      </c>
      <c r="B212" s="4" t="s">
        <v>41</v>
      </c>
      <c r="C212" s="4">
        <v>2030</v>
      </c>
      <c r="D212" s="4">
        <v>51101</v>
      </c>
      <c r="E212" s="8">
        <v>0</v>
      </c>
      <c r="F212" s="13">
        <v>71947</v>
      </c>
      <c r="G212" s="8">
        <f t="shared" si="4"/>
        <v>-71947</v>
      </c>
    </row>
    <row r="213" spans="1:7" x14ac:dyDescent="0.25">
      <c r="A213" s="4">
        <v>215</v>
      </c>
      <c r="B213" s="4" t="s">
        <v>41</v>
      </c>
      <c r="C213" s="4">
        <v>2030</v>
      </c>
      <c r="D213" s="4">
        <v>51205</v>
      </c>
      <c r="E213" s="8">
        <v>0</v>
      </c>
      <c r="F213" s="13">
        <v>650</v>
      </c>
      <c r="G213" s="8">
        <f t="shared" si="4"/>
        <v>-650</v>
      </c>
    </row>
    <row r="214" spans="1:7" x14ac:dyDescent="0.25">
      <c r="A214" s="4">
        <v>215</v>
      </c>
      <c r="B214" s="4" t="s">
        <v>41</v>
      </c>
      <c r="C214" s="4">
        <v>2030</v>
      </c>
      <c r="D214" s="4">
        <v>52101</v>
      </c>
      <c r="E214" s="8">
        <v>0</v>
      </c>
      <c r="F214" s="8">
        <f>116+932+7175+24</f>
        <v>8247</v>
      </c>
      <c r="G214" s="8">
        <f t="shared" si="4"/>
        <v>-8247</v>
      </c>
    </row>
    <row r="215" spans="1:7" x14ac:dyDescent="0.25">
      <c r="A215" s="4">
        <v>215</v>
      </c>
      <c r="B215" s="4" t="s">
        <v>41</v>
      </c>
      <c r="C215" s="4">
        <v>2030</v>
      </c>
      <c r="D215" s="4">
        <v>52111</v>
      </c>
      <c r="E215" s="8">
        <v>0</v>
      </c>
      <c r="F215" s="13">
        <f>26+110+564+640</f>
        <v>1340</v>
      </c>
      <c r="G215" s="8">
        <f t="shared" si="4"/>
        <v>-1340</v>
      </c>
    </row>
    <row r="216" spans="1:7" x14ac:dyDescent="0.25">
      <c r="A216" s="4">
        <v>215</v>
      </c>
      <c r="B216" s="4" t="s">
        <v>41</v>
      </c>
      <c r="C216" s="4">
        <v>2030</v>
      </c>
      <c r="D216" s="4">
        <v>52201</v>
      </c>
      <c r="E216" s="8">
        <v>0</v>
      </c>
      <c r="F216" s="13">
        <f>1053+4501</f>
        <v>5554</v>
      </c>
      <c r="G216" s="8">
        <f t="shared" si="4"/>
        <v>-5554</v>
      </c>
    </row>
    <row r="217" spans="1:7" x14ac:dyDescent="0.25">
      <c r="E217" s="49" t="s">
        <v>13</v>
      </c>
      <c r="F217" s="49"/>
      <c r="G217" s="9">
        <f>SUM(G192:G216)</f>
        <v>-422131</v>
      </c>
    </row>
    <row r="219" spans="1:7" x14ac:dyDescent="0.25">
      <c r="A219" s="1" t="s">
        <v>44</v>
      </c>
    </row>
    <row r="220" spans="1:7" x14ac:dyDescent="0.25">
      <c r="A220" s="2" t="s">
        <v>2</v>
      </c>
      <c r="B220" s="2"/>
      <c r="C220" s="2" t="s">
        <v>3</v>
      </c>
      <c r="D220" s="2"/>
      <c r="E220" s="48"/>
      <c r="F220" s="48"/>
      <c r="G220" s="48"/>
    </row>
    <row r="221" spans="1:7" x14ac:dyDescent="0.25">
      <c r="A221" s="2" t="s">
        <v>4</v>
      </c>
      <c r="B221" s="2"/>
      <c r="C221" s="2" t="s">
        <v>5</v>
      </c>
      <c r="D221" s="2" t="s">
        <v>6</v>
      </c>
      <c r="E221" s="2" t="s">
        <v>7</v>
      </c>
      <c r="F221" s="2" t="s">
        <v>8</v>
      </c>
      <c r="G221" s="2" t="s">
        <v>9</v>
      </c>
    </row>
    <row r="222" spans="1:7" x14ac:dyDescent="0.25">
      <c r="A222" s="4">
        <v>215</v>
      </c>
      <c r="B222" s="4" t="s">
        <v>41</v>
      </c>
      <c r="C222" s="4">
        <v>2026</v>
      </c>
      <c r="D222" s="4">
        <v>51101</v>
      </c>
      <c r="E222" s="8">
        <v>0</v>
      </c>
      <c r="F222" s="13">
        <v>70200</v>
      </c>
      <c r="G222" s="8">
        <f t="shared" ref="G222:G241" si="5">E222-F222</f>
        <v>-70200</v>
      </c>
    </row>
    <row r="223" spans="1:7" x14ac:dyDescent="0.25">
      <c r="A223" s="4">
        <v>215</v>
      </c>
      <c r="B223" s="4" t="s">
        <v>41</v>
      </c>
      <c r="C223" s="4">
        <v>2026</v>
      </c>
      <c r="D223" s="4">
        <v>52101</v>
      </c>
      <c r="E223" s="8">
        <v>0</v>
      </c>
      <c r="F223" s="8">
        <v>9539</v>
      </c>
      <c r="G223" s="8">
        <f t="shared" si="5"/>
        <v>-9539</v>
      </c>
    </row>
    <row r="224" spans="1:7" x14ac:dyDescent="0.25">
      <c r="A224" s="4">
        <v>215</v>
      </c>
      <c r="B224" s="4" t="s">
        <v>41</v>
      </c>
      <c r="C224" s="4">
        <v>2026</v>
      </c>
      <c r="D224" s="4">
        <v>52111</v>
      </c>
      <c r="E224" s="8">
        <v>0</v>
      </c>
      <c r="F224" s="13">
        <f>86388-F222-F223-F225</f>
        <v>1610</v>
      </c>
      <c r="G224" s="8">
        <f t="shared" si="5"/>
        <v>-1610</v>
      </c>
    </row>
    <row r="225" spans="1:7" x14ac:dyDescent="0.25">
      <c r="A225" s="4">
        <v>215</v>
      </c>
      <c r="B225" s="4" t="s">
        <v>41</v>
      </c>
      <c r="C225" s="4">
        <v>2026</v>
      </c>
      <c r="D225" s="4">
        <v>52201</v>
      </c>
      <c r="E225" s="8">
        <v>0</v>
      </c>
      <c r="F225" s="13">
        <f>955+4084</f>
        <v>5039</v>
      </c>
      <c r="G225" s="8">
        <f t="shared" si="5"/>
        <v>-5039</v>
      </c>
    </row>
    <row r="226" spans="1:7" x14ac:dyDescent="0.25">
      <c r="A226" s="4">
        <v>215</v>
      </c>
      <c r="B226" s="4" t="s">
        <v>41</v>
      </c>
      <c r="C226" s="4">
        <v>2027</v>
      </c>
      <c r="D226" s="4">
        <v>51101</v>
      </c>
      <c r="E226" s="8">
        <v>0</v>
      </c>
      <c r="F226" s="13">
        <v>70907</v>
      </c>
      <c r="G226" s="8">
        <f t="shared" si="5"/>
        <v>-70907</v>
      </c>
    </row>
    <row r="227" spans="1:7" x14ac:dyDescent="0.25">
      <c r="A227" s="4">
        <v>215</v>
      </c>
      <c r="B227" s="4" t="s">
        <v>41</v>
      </c>
      <c r="C227" s="4">
        <v>2027</v>
      </c>
      <c r="D227" s="4">
        <v>52101</v>
      </c>
      <c r="E227" s="8">
        <v>0</v>
      </c>
      <c r="F227" s="8">
        <f>9539+296</f>
        <v>9835</v>
      </c>
      <c r="G227" s="8">
        <f t="shared" si="5"/>
        <v>-9835</v>
      </c>
    </row>
    <row r="228" spans="1:7" x14ac:dyDescent="0.25">
      <c r="A228" s="4">
        <v>215</v>
      </c>
      <c r="B228" s="4" t="s">
        <v>41</v>
      </c>
      <c r="C228" s="4">
        <v>2027</v>
      </c>
      <c r="D228" s="4">
        <v>52111</v>
      </c>
      <c r="E228" s="8">
        <v>0</v>
      </c>
      <c r="F228" s="13">
        <f>87458-F226-F227-F229</f>
        <v>1477</v>
      </c>
      <c r="G228" s="8">
        <f t="shared" si="5"/>
        <v>-1477</v>
      </c>
    </row>
    <row r="229" spans="1:7" x14ac:dyDescent="0.25">
      <c r="A229" s="4">
        <v>215</v>
      </c>
      <c r="B229" s="4" t="s">
        <v>41</v>
      </c>
      <c r="C229" s="4">
        <v>2027</v>
      </c>
      <c r="D229" s="4">
        <v>52201</v>
      </c>
      <c r="E229" s="8">
        <v>0</v>
      </c>
      <c r="F229" s="13">
        <f>993+4246</f>
        <v>5239</v>
      </c>
      <c r="G229" s="8">
        <f t="shared" si="5"/>
        <v>-5239</v>
      </c>
    </row>
    <row r="230" spans="1:7" x14ac:dyDescent="0.25">
      <c r="A230" s="4">
        <v>215</v>
      </c>
      <c r="B230" s="4" t="s">
        <v>41</v>
      </c>
      <c r="C230" s="4">
        <v>2028</v>
      </c>
      <c r="D230" s="4">
        <v>51101</v>
      </c>
      <c r="E230" s="8">
        <v>0</v>
      </c>
      <c r="F230" s="13">
        <v>71614</v>
      </c>
      <c r="G230" s="8">
        <f t="shared" si="5"/>
        <v>-71614</v>
      </c>
    </row>
    <row r="231" spans="1:7" x14ac:dyDescent="0.25">
      <c r="A231" s="4">
        <v>215</v>
      </c>
      <c r="B231" s="4" t="s">
        <v>41</v>
      </c>
      <c r="C231" s="4">
        <v>2028</v>
      </c>
      <c r="D231" s="4">
        <v>52101</v>
      </c>
      <c r="E231" s="8">
        <v>0</v>
      </c>
      <c r="F231" s="8">
        <f>9539+601</f>
        <v>10140</v>
      </c>
      <c r="G231" s="8">
        <f t="shared" si="5"/>
        <v>-10140</v>
      </c>
    </row>
    <row r="232" spans="1:7" x14ac:dyDescent="0.25">
      <c r="A232" s="4">
        <v>215</v>
      </c>
      <c r="B232" s="4" t="s">
        <v>41</v>
      </c>
      <c r="C232" s="4">
        <v>2028</v>
      </c>
      <c r="D232" s="4">
        <v>52111</v>
      </c>
      <c r="E232" s="8">
        <v>0</v>
      </c>
      <c r="F232" s="13">
        <f>88535-F230-F231-F233</f>
        <v>1303</v>
      </c>
      <c r="G232" s="8">
        <f t="shared" si="5"/>
        <v>-1303</v>
      </c>
    </row>
    <row r="233" spans="1:7" x14ac:dyDescent="0.25">
      <c r="A233" s="4">
        <v>215</v>
      </c>
      <c r="B233" s="4" t="s">
        <v>41</v>
      </c>
      <c r="C233" s="4">
        <v>2028</v>
      </c>
      <c r="D233" s="4">
        <v>52201</v>
      </c>
      <c r="E233" s="8">
        <v>0</v>
      </c>
      <c r="F233" s="13">
        <f>1038+4440</f>
        <v>5478</v>
      </c>
      <c r="G233" s="8">
        <f t="shared" si="5"/>
        <v>-5478</v>
      </c>
    </row>
    <row r="234" spans="1:7" x14ac:dyDescent="0.25">
      <c r="A234" s="4">
        <v>215</v>
      </c>
      <c r="B234" s="4" t="s">
        <v>41</v>
      </c>
      <c r="C234" s="4">
        <v>2029</v>
      </c>
      <c r="D234" s="4">
        <v>51101</v>
      </c>
      <c r="E234" s="8">
        <v>0</v>
      </c>
      <c r="F234" s="13">
        <v>72322</v>
      </c>
      <c r="G234" s="8">
        <f t="shared" si="5"/>
        <v>-72322</v>
      </c>
    </row>
    <row r="235" spans="1:7" x14ac:dyDescent="0.25">
      <c r="A235" s="4">
        <v>215</v>
      </c>
      <c r="B235" s="4" t="s">
        <v>41</v>
      </c>
      <c r="C235" s="4">
        <v>2029</v>
      </c>
      <c r="D235" s="4">
        <v>52101</v>
      </c>
      <c r="E235" s="8">
        <v>0</v>
      </c>
      <c r="F235" s="8">
        <f>9539+915</f>
        <v>10454</v>
      </c>
      <c r="G235" s="8">
        <f t="shared" si="5"/>
        <v>-10454</v>
      </c>
    </row>
    <row r="236" spans="1:7" x14ac:dyDescent="0.25">
      <c r="A236" s="4">
        <v>215</v>
      </c>
      <c r="B236" s="4" t="s">
        <v>41</v>
      </c>
      <c r="C236" s="4">
        <v>2029</v>
      </c>
      <c r="D236" s="4">
        <v>52111</v>
      </c>
      <c r="E236" s="8">
        <v>0</v>
      </c>
      <c r="F236" s="13">
        <f>89621-F234-F235-F237</f>
        <v>1312</v>
      </c>
      <c r="G236" s="8">
        <f t="shared" si="5"/>
        <v>-1312</v>
      </c>
    </row>
    <row r="237" spans="1:7" x14ac:dyDescent="0.25">
      <c r="A237" s="4">
        <v>215</v>
      </c>
      <c r="B237" s="4" t="s">
        <v>41</v>
      </c>
      <c r="C237" s="4">
        <v>2029</v>
      </c>
      <c r="D237" s="4">
        <v>52201</v>
      </c>
      <c r="E237" s="8">
        <v>0</v>
      </c>
      <c r="F237" s="13">
        <f>1049+4484</f>
        <v>5533</v>
      </c>
      <c r="G237" s="8">
        <f t="shared" si="5"/>
        <v>-5533</v>
      </c>
    </row>
    <row r="238" spans="1:7" x14ac:dyDescent="0.25">
      <c r="A238" s="4">
        <v>215</v>
      </c>
      <c r="B238" s="4" t="s">
        <v>41</v>
      </c>
      <c r="C238" s="4">
        <v>2030</v>
      </c>
      <c r="D238" s="4">
        <v>51101</v>
      </c>
      <c r="E238" s="8">
        <v>0</v>
      </c>
      <c r="F238" s="13">
        <v>73050</v>
      </c>
      <c r="G238" s="8">
        <f t="shared" si="5"/>
        <v>-73050</v>
      </c>
    </row>
    <row r="239" spans="1:7" x14ac:dyDescent="0.25">
      <c r="A239" s="4">
        <v>215</v>
      </c>
      <c r="B239" s="4" t="s">
        <v>41</v>
      </c>
      <c r="C239" s="4">
        <v>2030</v>
      </c>
      <c r="D239" s="4">
        <v>52101</v>
      </c>
      <c r="E239" s="8">
        <v>0</v>
      </c>
      <c r="F239" s="8">
        <f>9539+1239</f>
        <v>10778</v>
      </c>
      <c r="G239" s="8">
        <f t="shared" si="5"/>
        <v>-10778</v>
      </c>
    </row>
    <row r="240" spans="1:7" x14ac:dyDescent="0.25">
      <c r="A240" s="4">
        <v>215</v>
      </c>
      <c r="B240" s="4" t="s">
        <v>41</v>
      </c>
      <c r="C240" s="4">
        <v>2030</v>
      </c>
      <c r="D240" s="4">
        <v>52111</v>
      </c>
      <c r="E240" s="8">
        <v>0</v>
      </c>
      <c r="F240" s="13">
        <f>90741-F238-F239-F241</f>
        <v>1325</v>
      </c>
      <c r="G240" s="8">
        <f t="shared" si="5"/>
        <v>-1325</v>
      </c>
    </row>
    <row r="241" spans="1:7" x14ac:dyDescent="0.25">
      <c r="A241" s="4">
        <v>215</v>
      </c>
      <c r="B241" s="4" t="s">
        <v>41</v>
      </c>
      <c r="C241" s="4">
        <v>2030</v>
      </c>
      <c r="D241" s="4">
        <v>52201</v>
      </c>
      <c r="E241" s="8">
        <v>0</v>
      </c>
      <c r="F241" s="13">
        <f>1059+4529</f>
        <v>5588</v>
      </c>
      <c r="G241" s="8">
        <f t="shared" si="5"/>
        <v>-5588</v>
      </c>
    </row>
    <row r="242" spans="1:7" x14ac:dyDescent="0.25">
      <c r="E242" s="49" t="s">
        <v>13</v>
      </c>
      <c r="F242" s="49"/>
      <c r="G242" s="9">
        <f>SUM(G222:G241)</f>
        <v>-442743</v>
      </c>
    </row>
    <row r="244" spans="1:7" x14ac:dyDescent="0.25">
      <c r="A244" s="1" t="s">
        <v>45</v>
      </c>
    </row>
    <row r="245" spans="1:7" x14ac:dyDescent="0.25">
      <c r="A245" s="2" t="s">
        <v>2</v>
      </c>
      <c r="B245" s="2"/>
      <c r="C245" s="2" t="s">
        <v>3</v>
      </c>
      <c r="D245" s="2"/>
      <c r="E245" s="48"/>
      <c r="F245" s="48"/>
      <c r="G245" s="48"/>
    </row>
    <row r="246" spans="1:7" x14ac:dyDescent="0.25">
      <c r="A246" s="2" t="s">
        <v>4</v>
      </c>
      <c r="B246" s="2"/>
      <c r="C246" s="2" t="s">
        <v>5</v>
      </c>
      <c r="D246" s="2" t="s">
        <v>6</v>
      </c>
      <c r="E246" s="2" t="s">
        <v>7</v>
      </c>
      <c r="F246" s="2" t="s">
        <v>8</v>
      </c>
      <c r="G246" s="2" t="s">
        <v>9</v>
      </c>
    </row>
    <row r="247" spans="1:7" x14ac:dyDescent="0.25">
      <c r="A247" s="4">
        <v>215</v>
      </c>
      <c r="B247" s="4" t="s">
        <v>41</v>
      </c>
      <c r="C247" s="4">
        <v>2026</v>
      </c>
      <c r="D247" s="4">
        <v>51101</v>
      </c>
      <c r="E247" s="8">
        <f>51917*2</f>
        <v>103834</v>
      </c>
      <c r="F247" s="8">
        <v>0</v>
      </c>
      <c r="G247" s="8">
        <f t="shared" ref="G247:G266" si="6">E247-F247</f>
        <v>103834</v>
      </c>
    </row>
    <row r="248" spans="1:7" x14ac:dyDescent="0.25">
      <c r="A248" s="4">
        <v>215</v>
      </c>
      <c r="B248" s="4" t="s">
        <v>41</v>
      </c>
      <c r="C248" s="4">
        <v>2026</v>
      </c>
      <c r="D248" s="4">
        <v>52101</v>
      </c>
      <c r="E248" s="8">
        <f>(116+7175+24)*2</f>
        <v>14630</v>
      </c>
      <c r="F248" s="8">
        <v>0</v>
      </c>
      <c r="G248" s="8">
        <f t="shared" si="6"/>
        <v>14630</v>
      </c>
    </row>
    <row r="249" spans="1:7" x14ac:dyDescent="0.25">
      <c r="A249" s="4">
        <v>215</v>
      </c>
      <c r="B249" s="4" t="s">
        <v>41</v>
      </c>
      <c r="C249" s="4">
        <v>2026</v>
      </c>
      <c r="D249" s="4">
        <v>52111</v>
      </c>
      <c r="E249" s="8">
        <f>(19+79+407+462)*2</f>
        <v>1934</v>
      </c>
      <c r="F249" s="8">
        <v>0</v>
      </c>
      <c r="G249" s="8">
        <f t="shared" si="6"/>
        <v>1934</v>
      </c>
    </row>
    <row r="250" spans="1:7" x14ac:dyDescent="0.25">
      <c r="A250" s="4">
        <v>215</v>
      </c>
      <c r="B250" s="4" t="s">
        <v>41</v>
      </c>
      <c r="C250" s="4">
        <v>2026</v>
      </c>
      <c r="D250" s="4">
        <v>52201</v>
      </c>
      <c r="E250" s="8">
        <f>(753+3219)*2</f>
        <v>7944</v>
      </c>
      <c r="F250" s="8">
        <v>0</v>
      </c>
      <c r="G250" s="8">
        <f t="shared" si="6"/>
        <v>7944</v>
      </c>
    </row>
    <row r="251" spans="1:7" x14ac:dyDescent="0.25">
      <c r="A251" s="4">
        <v>215</v>
      </c>
      <c r="B251" s="4" t="s">
        <v>41</v>
      </c>
      <c r="C251" s="4">
        <v>2027</v>
      </c>
      <c r="D251" s="4">
        <v>51101</v>
      </c>
      <c r="E251" s="8">
        <f>53997*2</f>
        <v>107994</v>
      </c>
      <c r="F251" s="8">
        <v>0</v>
      </c>
      <c r="G251" s="8">
        <f t="shared" si="6"/>
        <v>107994</v>
      </c>
    </row>
    <row r="252" spans="1:7" x14ac:dyDescent="0.25">
      <c r="A252" s="4">
        <v>215</v>
      </c>
      <c r="B252" s="4" t="s">
        <v>41</v>
      </c>
      <c r="C252" s="4">
        <v>2027</v>
      </c>
      <c r="D252" s="4">
        <v>52101</v>
      </c>
      <c r="E252" s="8">
        <f>(116+222+7175+24)*2</f>
        <v>15074</v>
      </c>
      <c r="F252" s="8">
        <v>0</v>
      </c>
      <c r="G252" s="8">
        <f t="shared" si="6"/>
        <v>15074</v>
      </c>
    </row>
    <row r="253" spans="1:7" x14ac:dyDescent="0.25">
      <c r="A253" s="4">
        <v>215</v>
      </c>
      <c r="B253" s="4" t="s">
        <v>41</v>
      </c>
      <c r="C253" s="4">
        <v>2027</v>
      </c>
      <c r="D253" s="4">
        <v>52111</v>
      </c>
      <c r="E253" s="8">
        <f>(19+82+423+481)*2</f>
        <v>2010</v>
      </c>
      <c r="F253" s="8">
        <v>0</v>
      </c>
      <c r="G253" s="8">
        <f t="shared" si="6"/>
        <v>2010</v>
      </c>
    </row>
    <row r="254" spans="1:7" x14ac:dyDescent="0.25">
      <c r="A254" s="4">
        <v>215</v>
      </c>
      <c r="B254" s="4" t="s">
        <v>41</v>
      </c>
      <c r="C254" s="4">
        <v>2027</v>
      </c>
      <c r="D254" s="4">
        <v>52201</v>
      </c>
      <c r="E254" s="8">
        <f>(783+3348)*2</f>
        <v>8262</v>
      </c>
      <c r="F254" s="8">
        <v>0</v>
      </c>
      <c r="G254" s="8">
        <f t="shared" si="6"/>
        <v>8262</v>
      </c>
    </row>
    <row r="255" spans="1:7" x14ac:dyDescent="0.25">
      <c r="A255" s="4">
        <v>215</v>
      </c>
      <c r="B255" s="4" t="s">
        <v>41</v>
      </c>
      <c r="C255" s="4">
        <v>2028</v>
      </c>
      <c r="D255" s="4">
        <v>51101</v>
      </c>
      <c r="E255" s="8">
        <f>56139*2</f>
        <v>112278</v>
      </c>
      <c r="F255" s="8">
        <v>0</v>
      </c>
      <c r="G255" s="8">
        <f t="shared" si="6"/>
        <v>112278</v>
      </c>
    </row>
    <row r="256" spans="1:7" x14ac:dyDescent="0.25">
      <c r="A256" s="4">
        <v>215</v>
      </c>
      <c r="B256" s="4" t="s">
        <v>41</v>
      </c>
      <c r="C256" s="4">
        <v>2028</v>
      </c>
      <c r="D256" s="4">
        <v>52101</v>
      </c>
      <c r="E256" s="8">
        <f>(116+452+7175+24)*2</f>
        <v>15534</v>
      </c>
      <c r="F256" s="8">
        <v>0</v>
      </c>
      <c r="G256" s="8">
        <f t="shared" si="6"/>
        <v>15534</v>
      </c>
    </row>
    <row r="257" spans="1:7" x14ac:dyDescent="0.25">
      <c r="A257" s="4">
        <v>215</v>
      </c>
      <c r="B257" s="4" t="s">
        <v>41</v>
      </c>
      <c r="C257" s="4">
        <v>2028</v>
      </c>
      <c r="D257" s="4">
        <v>52111</v>
      </c>
      <c r="E257" s="8">
        <f>(20+86+440+500)*2</f>
        <v>2092</v>
      </c>
      <c r="F257" s="8">
        <v>0</v>
      </c>
      <c r="G257" s="8">
        <f t="shared" si="6"/>
        <v>2092</v>
      </c>
    </row>
    <row r="258" spans="1:7" x14ac:dyDescent="0.25">
      <c r="A258" s="4">
        <v>215</v>
      </c>
      <c r="B258" s="4" t="s">
        <v>41</v>
      </c>
      <c r="C258" s="4">
        <v>2028</v>
      </c>
      <c r="D258" s="4">
        <v>52201</v>
      </c>
      <c r="E258" s="8">
        <f>(814+3481)*2</f>
        <v>8590</v>
      </c>
      <c r="F258" s="8">
        <v>0</v>
      </c>
      <c r="G258" s="8">
        <f t="shared" si="6"/>
        <v>8590</v>
      </c>
    </row>
    <row r="259" spans="1:7" x14ac:dyDescent="0.25">
      <c r="A259" s="4">
        <v>215</v>
      </c>
      <c r="B259" s="4" t="s">
        <v>41</v>
      </c>
      <c r="C259" s="4">
        <v>2029</v>
      </c>
      <c r="D259" s="4">
        <v>51101</v>
      </c>
      <c r="E259" s="8">
        <f>56701*2</f>
        <v>113402</v>
      </c>
      <c r="F259" s="8">
        <v>0</v>
      </c>
      <c r="G259" s="8">
        <f t="shared" si="6"/>
        <v>113402</v>
      </c>
    </row>
    <row r="260" spans="1:7" x14ac:dyDescent="0.25">
      <c r="A260" s="4">
        <v>215</v>
      </c>
      <c r="B260" s="4" t="s">
        <v>41</v>
      </c>
      <c r="C260" s="4">
        <v>2029</v>
      </c>
      <c r="D260" s="4">
        <v>52101</v>
      </c>
      <c r="E260" s="8">
        <f>(116+688+7175+24)*2</f>
        <v>16006</v>
      </c>
      <c r="F260" s="8">
        <v>0</v>
      </c>
      <c r="G260" s="8">
        <f t="shared" si="6"/>
        <v>16006</v>
      </c>
    </row>
    <row r="261" spans="1:7" x14ac:dyDescent="0.25">
      <c r="A261" s="4">
        <v>215</v>
      </c>
      <c r="B261" s="4" t="s">
        <v>41</v>
      </c>
      <c r="C261" s="4">
        <v>2029</v>
      </c>
      <c r="D261" s="4">
        <v>52111</v>
      </c>
      <c r="E261" s="8">
        <f>(20+86+445+505)*2</f>
        <v>2112</v>
      </c>
      <c r="F261" s="8">
        <v>0</v>
      </c>
      <c r="G261" s="8">
        <f t="shared" si="6"/>
        <v>2112</v>
      </c>
    </row>
    <row r="262" spans="1:7" x14ac:dyDescent="0.25">
      <c r="A262" s="4">
        <v>215</v>
      </c>
      <c r="B262" s="4" t="s">
        <v>41</v>
      </c>
      <c r="C262" s="4">
        <v>2029</v>
      </c>
      <c r="D262" s="4">
        <v>52201</v>
      </c>
      <c r="E262" s="8">
        <f>(822+3515)*2</f>
        <v>8674</v>
      </c>
      <c r="F262" s="8">
        <v>0</v>
      </c>
      <c r="G262" s="8">
        <f t="shared" si="6"/>
        <v>8674</v>
      </c>
    </row>
    <row r="263" spans="1:7" x14ac:dyDescent="0.25">
      <c r="A263" s="4">
        <v>215</v>
      </c>
      <c r="B263" s="4" t="s">
        <v>41</v>
      </c>
      <c r="C263" s="4">
        <v>2030</v>
      </c>
      <c r="D263" s="4">
        <v>51101</v>
      </c>
      <c r="E263" s="8">
        <f>57262*2</f>
        <v>114524</v>
      </c>
      <c r="F263" s="8">
        <v>0</v>
      </c>
      <c r="G263" s="8">
        <f t="shared" si="6"/>
        <v>114524</v>
      </c>
    </row>
    <row r="264" spans="1:7" x14ac:dyDescent="0.25">
      <c r="A264" s="4">
        <v>215</v>
      </c>
      <c r="B264" s="4" t="s">
        <v>41</v>
      </c>
      <c r="C264" s="4">
        <v>2030</v>
      </c>
      <c r="D264" s="4">
        <v>52101</v>
      </c>
      <c r="E264" s="8">
        <f>(116+932+7175+24)*2</f>
        <v>16494</v>
      </c>
      <c r="F264" s="8">
        <v>0</v>
      </c>
      <c r="G264" s="8">
        <f t="shared" si="6"/>
        <v>16494</v>
      </c>
    </row>
    <row r="265" spans="1:7" x14ac:dyDescent="0.25">
      <c r="A265" s="4">
        <v>215</v>
      </c>
      <c r="B265" s="4" t="s">
        <v>41</v>
      </c>
      <c r="C265" s="4">
        <v>2030</v>
      </c>
      <c r="D265" s="4">
        <v>52111</v>
      </c>
      <c r="E265" s="8">
        <f>(21+87+449+510)*2</f>
        <v>2134</v>
      </c>
      <c r="F265" s="8">
        <v>0</v>
      </c>
      <c r="G265" s="8">
        <f t="shared" si="6"/>
        <v>2134</v>
      </c>
    </row>
    <row r="266" spans="1:7" x14ac:dyDescent="0.25">
      <c r="A266" s="4">
        <v>215</v>
      </c>
      <c r="B266" s="4" t="s">
        <v>41</v>
      </c>
      <c r="C266" s="4">
        <v>2030</v>
      </c>
      <c r="D266" s="4">
        <v>52201</v>
      </c>
      <c r="E266" s="8">
        <f>(830+3550)*2</f>
        <v>8760</v>
      </c>
      <c r="F266" s="8">
        <v>0</v>
      </c>
      <c r="G266" s="8">
        <f t="shared" si="6"/>
        <v>8760</v>
      </c>
    </row>
    <row r="267" spans="1:7" x14ac:dyDescent="0.25">
      <c r="E267" s="49" t="s">
        <v>13</v>
      </c>
      <c r="F267" s="49"/>
      <c r="G267" s="9">
        <f>SUM(G247:G266)</f>
        <v>682282</v>
      </c>
    </row>
    <row r="269" spans="1:7" x14ac:dyDescent="0.25">
      <c r="A269" s="1" t="s">
        <v>46</v>
      </c>
    </row>
    <row r="270" spans="1:7" x14ac:dyDescent="0.25">
      <c r="A270" s="2" t="s">
        <v>2</v>
      </c>
      <c r="B270" s="2"/>
      <c r="C270" s="2" t="s">
        <v>3</v>
      </c>
      <c r="D270" s="2"/>
      <c r="E270" s="48"/>
      <c r="F270" s="48"/>
      <c r="G270" s="48"/>
    </row>
    <row r="271" spans="1:7" x14ac:dyDescent="0.25">
      <c r="A271" s="2" t="s">
        <v>4</v>
      </c>
      <c r="B271" s="2"/>
      <c r="C271" s="2" t="s">
        <v>5</v>
      </c>
      <c r="D271" s="2" t="s">
        <v>6</v>
      </c>
      <c r="E271" s="2" t="s">
        <v>7</v>
      </c>
      <c r="F271" s="2" t="s">
        <v>8</v>
      </c>
      <c r="G271" s="2" t="s">
        <v>9</v>
      </c>
    </row>
    <row r="272" spans="1:7" x14ac:dyDescent="0.25">
      <c r="A272" s="4">
        <v>215</v>
      </c>
      <c r="B272" s="4" t="s">
        <v>41</v>
      </c>
      <c r="C272" s="4">
        <v>2026</v>
      </c>
      <c r="D272" s="4">
        <v>51101</v>
      </c>
      <c r="E272" s="8">
        <v>64542</v>
      </c>
      <c r="F272" s="8">
        <v>0</v>
      </c>
      <c r="G272" s="8">
        <f t="shared" ref="G272:G291" si="7">E272-F272</f>
        <v>64542</v>
      </c>
    </row>
    <row r="273" spans="1:7" x14ac:dyDescent="0.25">
      <c r="A273" s="4">
        <v>215</v>
      </c>
      <c r="B273" s="4" t="s">
        <v>41</v>
      </c>
      <c r="C273" s="4">
        <v>2026</v>
      </c>
      <c r="D273" s="4">
        <v>52101</v>
      </c>
      <c r="E273" s="8">
        <f>116+9539+24</f>
        <v>9679</v>
      </c>
      <c r="F273" s="8">
        <v>0</v>
      </c>
      <c r="G273" s="8">
        <f t="shared" si="7"/>
        <v>9679</v>
      </c>
    </row>
    <row r="274" spans="1:7" x14ac:dyDescent="0.25">
      <c r="A274" s="4">
        <v>215</v>
      </c>
      <c r="B274" s="4" t="s">
        <v>41</v>
      </c>
      <c r="C274" s="4">
        <v>2026</v>
      </c>
      <c r="D274" s="4">
        <v>52111</v>
      </c>
      <c r="E274" s="13">
        <f>23+98+447+478</f>
        <v>1046</v>
      </c>
      <c r="F274" s="8">
        <v>0</v>
      </c>
      <c r="G274" s="8">
        <f t="shared" si="7"/>
        <v>1046</v>
      </c>
    </row>
    <row r="275" spans="1:7" x14ac:dyDescent="0.25">
      <c r="A275" s="4">
        <v>215</v>
      </c>
      <c r="B275" s="4" t="s">
        <v>41</v>
      </c>
      <c r="C275" s="4">
        <v>2026</v>
      </c>
      <c r="D275" s="4">
        <v>52201</v>
      </c>
      <c r="E275" s="13">
        <f>936+4002</f>
        <v>4938</v>
      </c>
      <c r="F275" s="8">
        <v>0</v>
      </c>
      <c r="G275" s="8">
        <f t="shared" si="7"/>
        <v>4938</v>
      </c>
    </row>
    <row r="276" spans="1:7" x14ac:dyDescent="0.25">
      <c r="A276" s="4">
        <v>215</v>
      </c>
      <c r="B276" s="4" t="s">
        <v>41</v>
      </c>
      <c r="C276" s="4">
        <v>2027</v>
      </c>
      <c r="D276" s="4">
        <v>51101</v>
      </c>
      <c r="E276" s="13">
        <v>65187</v>
      </c>
      <c r="F276" s="8">
        <v>0</v>
      </c>
      <c r="G276" s="8">
        <f t="shared" si="7"/>
        <v>65187</v>
      </c>
    </row>
    <row r="277" spans="1:7" x14ac:dyDescent="0.25">
      <c r="A277" s="4">
        <v>215</v>
      </c>
      <c r="B277" s="4" t="s">
        <v>41</v>
      </c>
      <c r="C277" s="4">
        <v>2027</v>
      </c>
      <c r="D277" s="4">
        <v>52101</v>
      </c>
      <c r="E277" s="13">
        <f>116+296+9539+24</f>
        <v>9975</v>
      </c>
      <c r="F277" s="8">
        <v>0</v>
      </c>
      <c r="G277" s="8">
        <f t="shared" si="7"/>
        <v>9975</v>
      </c>
    </row>
    <row r="278" spans="1:7" x14ac:dyDescent="0.25">
      <c r="A278" s="4">
        <v>215</v>
      </c>
      <c r="B278" s="4" t="s">
        <v>41</v>
      </c>
      <c r="C278" s="4">
        <v>2027</v>
      </c>
      <c r="D278" s="4">
        <v>52111</v>
      </c>
      <c r="E278" s="13">
        <f>23+99+452+483</f>
        <v>1057</v>
      </c>
      <c r="F278" s="8">
        <v>0</v>
      </c>
      <c r="G278" s="8">
        <f t="shared" si="7"/>
        <v>1057</v>
      </c>
    </row>
    <row r="279" spans="1:7" x14ac:dyDescent="0.25">
      <c r="A279" s="4">
        <v>215</v>
      </c>
      <c r="B279" s="4" t="s">
        <v>41</v>
      </c>
      <c r="C279" s="4">
        <v>2027</v>
      </c>
      <c r="D279" s="4">
        <v>52201</v>
      </c>
      <c r="E279" s="13">
        <f>945+4042</f>
        <v>4987</v>
      </c>
      <c r="F279" s="8">
        <v>0</v>
      </c>
      <c r="G279" s="8">
        <f t="shared" si="7"/>
        <v>4987</v>
      </c>
    </row>
    <row r="280" spans="1:7" x14ac:dyDescent="0.25">
      <c r="A280" s="4">
        <v>215</v>
      </c>
      <c r="B280" s="4" t="s">
        <v>41</v>
      </c>
      <c r="C280" s="4">
        <v>2028</v>
      </c>
      <c r="D280" s="4">
        <v>51101</v>
      </c>
      <c r="E280" s="13">
        <v>65832</v>
      </c>
      <c r="F280" s="8">
        <v>0</v>
      </c>
      <c r="G280" s="8">
        <f t="shared" si="7"/>
        <v>65832</v>
      </c>
    </row>
    <row r="281" spans="1:7" x14ac:dyDescent="0.25">
      <c r="A281" s="4">
        <v>215</v>
      </c>
      <c r="B281" s="4" t="s">
        <v>41</v>
      </c>
      <c r="C281" s="4">
        <v>2028</v>
      </c>
      <c r="D281" s="4">
        <v>52101</v>
      </c>
      <c r="E281" s="13">
        <f>116+601+9539+24</f>
        <v>10280</v>
      </c>
      <c r="F281" s="8">
        <v>0</v>
      </c>
      <c r="G281" s="8">
        <f t="shared" si="7"/>
        <v>10280</v>
      </c>
    </row>
    <row r="282" spans="1:7" x14ac:dyDescent="0.25">
      <c r="A282" s="4">
        <v>215</v>
      </c>
      <c r="B282" s="4" t="s">
        <v>41</v>
      </c>
      <c r="C282" s="4">
        <v>2028</v>
      </c>
      <c r="D282" s="4">
        <v>52111</v>
      </c>
      <c r="E282" s="13">
        <f>24+100+456+488</f>
        <v>1068</v>
      </c>
      <c r="F282" s="8">
        <v>0</v>
      </c>
      <c r="G282" s="8">
        <f t="shared" si="7"/>
        <v>1068</v>
      </c>
    </row>
    <row r="283" spans="1:7" x14ac:dyDescent="0.25">
      <c r="A283" s="4">
        <v>215</v>
      </c>
      <c r="B283" s="4" t="s">
        <v>41</v>
      </c>
      <c r="C283" s="4">
        <v>2028</v>
      </c>
      <c r="D283" s="4">
        <v>52201</v>
      </c>
      <c r="E283" s="13">
        <f>955+4082</f>
        <v>5037</v>
      </c>
      <c r="F283" s="8">
        <v>0</v>
      </c>
      <c r="G283" s="8">
        <f t="shared" si="7"/>
        <v>5037</v>
      </c>
    </row>
    <row r="284" spans="1:7" x14ac:dyDescent="0.25">
      <c r="A284" s="4">
        <v>215</v>
      </c>
      <c r="B284" s="4" t="s">
        <v>41</v>
      </c>
      <c r="C284" s="4">
        <v>2029</v>
      </c>
      <c r="D284" s="4">
        <v>51101</v>
      </c>
      <c r="E284" s="13">
        <v>66498</v>
      </c>
      <c r="F284" s="8">
        <v>0</v>
      </c>
      <c r="G284" s="8">
        <f t="shared" si="7"/>
        <v>66498</v>
      </c>
    </row>
    <row r="285" spans="1:7" x14ac:dyDescent="0.25">
      <c r="A285" s="4">
        <v>215</v>
      </c>
      <c r="B285" s="4" t="s">
        <v>41</v>
      </c>
      <c r="C285" s="4">
        <v>2029</v>
      </c>
      <c r="D285" s="4">
        <v>52101</v>
      </c>
      <c r="E285" s="13">
        <f>116+915+9539+24</f>
        <v>10594</v>
      </c>
      <c r="F285" s="8">
        <v>0</v>
      </c>
      <c r="G285" s="8">
        <f t="shared" si="7"/>
        <v>10594</v>
      </c>
    </row>
    <row r="286" spans="1:7" x14ac:dyDescent="0.25">
      <c r="A286" s="4">
        <v>215</v>
      </c>
      <c r="B286" s="4" t="s">
        <v>41</v>
      </c>
      <c r="C286" s="4">
        <v>2029</v>
      </c>
      <c r="D286" s="4">
        <v>52111</v>
      </c>
      <c r="E286" s="13">
        <f>24+101+461+493</f>
        <v>1079</v>
      </c>
      <c r="F286" s="8">
        <v>0</v>
      </c>
      <c r="G286" s="8">
        <f t="shared" si="7"/>
        <v>1079</v>
      </c>
    </row>
    <row r="287" spans="1:7" x14ac:dyDescent="0.25">
      <c r="A287" s="4">
        <v>215</v>
      </c>
      <c r="B287" s="4" t="s">
        <v>41</v>
      </c>
      <c r="C287" s="4">
        <v>2029</v>
      </c>
      <c r="D287" s="4">
        <v>52201</v>
      </c>
      <c r="E287" s="13">
        <f>964+4123</f>
        <v>5087</v>
      </c>
      <c r="F287" s="8">
        <v>0</v>
      </c>
      <c r="G287" s="8">
        <f t="shared" si="7"/>
        <v>5087</v>
      </c>
    </row>
    <row r="288" spans="1:7" x14ac:dyDescent="0.25">
      <c r="A288" s="4">
        <v>215</v>
      </c>
      <c r="B288" s="4" t="s">
        <v>41</v>
      </c>
      <c r="C288" s="4">
        <v>2030</v>
      </c>
      <c r="D288" s="4">
        <v>51101</v>
      </c>
      <c r="E288" s="13">
        <v>67163</v>
      </c>
      <c r="F288" s="8">
        <v>0</v>
      </c>
      <c r="G288" s="8">
        <f t="shared" si="7"/>
        <v>67163</v>
      </c>
    </row>
    <row r="289" spans="1:7" x14ac:dyDescent="0.25">
      <c r="A289" s="4">
        <v>215</v>
      </c>
      <c r="B289" s="4" t="s">
        <v>41</v>
      </c>
      <c r="C289" s="4">
        <v>2030</v>
      </c>
      <c r="D289" s="4">
        <v>52101</v>
      </c>
      <c r="E289" s="13">
        <f>116+1239+9539+24</f>
        <v>10918</v>
      </c>
      <c r="F289" s="8">
        <v>0</v>
      </c>
      <c r="G289" s="8">
        <f t="shared" si="7"/>
        <v>10918</v>
      </c>
    </row>
    <row r="290" spans="1:7" x14ac:dyDescent="0.25">
      <c r="A290" s="4">
        <v>215</v>
      </c>
      <c r="B290" s="4" t="s">
        <v>41</v>
      </c>
      <c r="C290" s="4">
        <v>2030</v>
      </c>
      <c r="D290" s="4">
        <v>52111</v>
      </c>
      <c r="E290" s="13">
        <f>24+102+465+498</f>
        <v>1089</v>
      </c>
      <c r="F290" s="8">
        <v>0</v>
      </c>
      <c r="G290" s="8">
        <f t="shared" si="7"/>
        <v>1089</v>
      </c>
    </row>
    <row r="291" spans="1:7" x14ac:dyDescent="0.25">
      <c r="A291" s="4">
        <v>215</v>
      </c>
      <c r="B291" s="4" t="s">
        <v>41</v>
      </c>
      <c r="C291" s="4">
        <v>2030</v>
      </c>
      <c r="D291" s="4">
        <v>52201</v>
      </c>
      <c r="E291" s="8">
        <f>974+4164</f>
        <v>5138</v>
      </c>
      <c r="F291" s="8">
        <v>0</v>
      </c>
      <c r="G291" s="8">
        <f t="shared" si="7"/>
        <v>5138</v>
      </c>
    </row>
    <row r="292" spans="1:7" x14ac:dyDescent="0.25">
      <c r="E292" s="49" t="s">
        <v>13</v>
      </c>
      <c r="F292" s="49"/>
      <c r="G292" s="9">
        <f>SUM(G272:G291)</f>
        <v>411194</v>
      </c>
    </row>
    <row r="294" spans="1:7" x14ac:dyDescent="0.25">
      <c r="A294" s="1" t="s">
        <v>47</v>
      </c>
    </row>
    <row r="295" spans="1:7" x14ac:dyDescent="0.25">
      <c r="A295" s="2" t="s">
        <v>2</v>
      </c>
      <c r="B295" s="2"/>
      <c r="C295" s="2" t="s">
        <v>3</v>
      </c>
      <c r="D295" s="2"/>
      <c r="E295" s="48"/>
      <c r="F295" s="48"/>
      <c r="G295" s="48"/>
    </row>
    <row r="296" spans="1:7" x14ac:dyDescent="0.25">
      <c r="A296" s="2" t="s">
        <v>4</v>
      </c>
      <c r="B296" s="2"/>
      <c r="C296" s="2" t="s">
        <v>5</v>
      </c>
      <c r="D296" s="2" t="s">
        <v>6</v>
      </c>
      <c r="E296" s="2" t="s">
        <v>7</v>
      </c>
      <c r="F296" s="2" t="s">
        <v>8</v>
      </c>
      <c r="G296" s="2" t="s">
        <v>9</v>
      </c>
    </row>
    <row r="297" spans="1:7" x14ac:dyDescent="0.25">
      <c r="A297" s="4">
        <v>215</v>
      </c>
      <c r="B297" s="4" t="s">
        <v>41</v>
      </c>
      <c r="C297" s="4">
        <v>2026</v>
      </c>
      <c r="D297" s="4">
        <v>57531</v>
      </c>
      <c r="E297" s="8">
        <v>847352</v>
      </c>
      <c r="F297" s="8">
        <v>167000</v>
      </c>
      <c r="G297" s="8">
        <f>E297-F297</f>
        <v>680352</v>
      </c>
    </row>
    <row r="298" spans="1:7" x14ac:dyDescent="0.25">
      <c r="E298" s="49" t="s">
        <v>13</v>
      </c>
      <c r="F298" s="49"/>
      <c r="G298" s="9">
        <f>SUM(G297)</f>
        <v>680352</v>
      </c>
    </row>
    <row r="300" spans="1:7" x14ac:dyDescent="0.25">
      <c r="A300" s="1" t="s">
        <v>48</v>
      </c>
    </row>
    <row r="301" spans="1:7" x14ac:dyDescent="0.25">
      <c r="A301" s="2" t="s">
        <v>2</v>
      </c>
      <c r="B301" s="2"/>
      <c r="C301" s="2" t="s">
        <v>3</v>
      </c>
      <c r="D301" s="2"/>
      <c r="E301" s="48"/>
      <c r="F301" s="48"/>
      <c r="G301" s="48"/>
    </row>
    <row r="302" spans="1:7" x14ac:dyDescent="0.25">
      <c r="A302" s="2" t="s">
        <v>4</v>
      </c>
      <c r="B302" s="2"/>
      <c r="C302" s="2" t="s">
        <v>5</v>
      </c>
      <c r="D302" s="2" t="s">
        <v>6</v>
      </c>
      <c r="E302" s="2" t="s">
        <v>7</v>
      </c>
      <c r="F302" s="2" t="s">
        <v>8</v>
      </c>
      <c r="G302" s="2" t="s">
        <v>9</v>
      </c>
    </row>
    <row r="303" spans="1:7" x14ac:dyDescent="0.25">
      <c r="A303" s="4">
        <v>220</v>
      </c>
      <c r="B303" s="4" t="s">
        <v>49</v>
      </c>
      <c r="C303" s="4">
        <v>2026</v>
      </c>
      <c r="D303" s="4">
        <v>52101</v>
      </c>
      <c r="E303" s="8">
        <v>1911866</v>
      </c>
      <c r="F303" s="8">
        <f>1911866+50000</f>
        <v>1961866</v>
      </c>
      <c r="G303" s="8">
        <f>E303-F303</f>
        <v>-50000</v>
      </c>
    </row>
    <row r="304" spans="1:7" x14ac:dyDescent="0.25">
      <c r="A304" s="4">
        <v>220</v>
      </c>
      <c r="B304" s="4" t="s">
        <v>49</v>
      </c>
      <c r="C304" s="4">
        <v>2027</v>
      </c>
      <c r="D304" s="4">
        <v>52101</v>
      </c>
      <c r="E304" s="8">
        <v>2230727</v>
      </c>
      <c r="F304" s="8">
        <f>2230727+50000</f>
        <v>2280727</v>
      </c>
      <c r="G304" s="8">
        <f>E304-F304</f>
        <v>-50000</v>
      </c>
    </row>
    <row r="305" spans="1:7" x14ac:dyDescent="0.25">
      <c r="A305" s="4">
        <v>220</v>
      </c>
      <c r="B305" s="4" t="s">
        <v>49</v>
      </c>
      <c r="C305" s="4">
        <v>2028</v>
      </c>
      <c r="D305" s="4">
        <v>52101</v>
      </c>
      <c r="E305" s="8">
        <v>2296624</v>
      </c>
      <c r="F305" s="8">
        <f>2296624+50000</f>
        <v>2346624</v>
      </c>
      <c r="G305" s="8">
        <f>E305-F305</f>
        <v>-50000</v>
      </c>
    </row>
    <row r="306" spans="1:7" x14ac:dyDescent="0.25">
      <c r="A306" s="4">
        <v>220</v>
      </c>
      <c r="B306" s="4" t="s">
        <v>49</v>
      </c>
      <c r="C306" s="4">
        <v>2029</v>
      </c>
      <c r="D306" s="4">
        <v>52101</v>
      </c>
      <c r="E306" s="8">
        <v>2364174</v>
      </c>
      <c r="F306" s="8">
        <f>2364174+50000</f>
        <v>2414174</v>
      </c>
      <c r="G306" s="8">
        <f>E306-F306</f>
        <v>-50000</v>
      </c>
    </row>
    <row r="307" spans="1:7" x14ac:dyDescent="0.25">
      <c r="A307" s="4">
        <v>220</v>
      </c>
      <c r="B307" s="4" t="s">
        <v>49</v>
      </c>
      <c r="C307" s="4">
        <v>2030</v>
      </c>
      <c r="D307" s="4">
        <v>52101</v>
      </c>
      <c r="E307" s="8">
        <v>2443555</v>
      </c>
      <c r="F307" s="8">
        <f>2443555+50000</f>
        <v>2493555</v>
      </c>
      <c r="G307" s="8">
        <f>E307-F307</f>
        <v>-50000</v>
      </c>
    </row>
    <row r="308" spans="1:7" x14ac:dyDescent="0.25">
      <c r="E308" s="49" t="s">
        <v>13</v>
      </c>
      <c r="F308" s="49"/>
      <c r="G308" s="9">
        <f>SUM(G303:G307)</f>
        <v>-250000</v>
      </c>
    </row>
    <row r="310" spans="1:7" x14ac:dyDescent="0.25">
      <c r="A310" s="1" t="s">
        <v>50</v>
      </c>
    </row>
    <row r="311" spans="1:7" x14ac:dyDescent="0.25">
      <c r="A311" s="2" t="s">
        <v>2</v>
      </c>
      <c r="B311" s="2"/>
      <c r="C311" s="2" t="s">
        <v>3</v>
      </c>
      <c r="D311" s="2"/>
      <c r="E311" s="48"/>
      <c r="F311" s="48"/>
      <c r="G311" s="48"/>
    </row>
    <row r="312" spans="1:7" x14ac:dyDescent="0.25">
      <c r="A312" s="2" t="s">
        <v>4</v>
      </c>
      <c r="B312" s="2"/>
      <c r="C312" s="2" t="s">
        <v>5</v>
      </c>
      <c r="D312" s="2" t="s">
        <v>6</v>
      </c>
      <c r="E312" s="2" t="s">
        <v>7</v>
      </c>
      <c r="F312" s="2" t="s">
        <v>8</v>
      </c>
      <c r="G312" s="2" t="s">
        <v>9</v>
      </c>
    </row>
    <row r="313" spans="1:7" x14ac:dyDescent="0.25">
      <c r="A313" s="4">
        <v>225</v>
      </c>
      <c r="B313" s="4" t="s">
        <v>18</v>
      </c>
      <c r="C313" s="4">
        <v>2026</v>
      </c>
      <c r="D313" s="4">
        <v>51101</v>
      </c>
      <c r="E313" s="8">
        <v>0</v>
      </c>
      <c r="F313" s="13">
        <v>132995</v>
      </c>
      <c r="G313" s="8">
        <f t="shared" ref="G313:G332" si="8">E313-F313</f>
        <v>-132995</v>
      </c>
    </row>
    <row r="314" spans="1:7" x14ac:dyDescent="0.25">
      <c r="A314" s="4">
        <v>225</v>
      </c>
      <c r="B314" s="4" t="s">
        <v>18</v>
      </c>
      <c r="C314" s="4">
        <v>2026</v>
      </c>
      <c r="D314" s="4">
        <v>52101</v>
      </c>
      <c r="E314" s="8">
        <v>0</v>
      </c>
      <c r="F314" s="13">
        <f>116+9539+24</f>
        <v>9679</v>
      </c>
      <c r="G314" s="8">
        <f t="shared" si="8"/>
        <v>-9679</v>
      </c>
    </row>
    <row r="315" spans="1:7" x14ac:dyDescent="0.25">
      <c r="A315" s="4">
        <v>225</v>
      </c>
      <c r="B315" s="4" t="s">
        <v>18</v>
      </c>
      <c r="C315" s="4">
        <v>2026</v>
      </c>
      <c r="D315" s="4">
        <v>52111</v>
      </c>
      <c r="E315" s="8">
        <v>0</v>
      </c>
      <c r="F315" s="13">
        <f>48+203+922+985</f>
        <v>2158</v>
      </c>
      <c r="G315" s="8">
        <f t="shared" si="8"/>
        <v>-2158</v>
      </c>
    </row>
    <row r="316" spans="1:7" x14ac:dyDescent="0.25">
      <c r="A316" s="4">
        <v>225</v>
      </c>
      <c r="B316" s="4" t="s">
        <v>18</v>
      </c>
      <c r="C316" s="4">
        <v>2026</v>
      </c>
      <c r="D316" s="4">
        <v>52201</v>
      </c>
      <c r="E316" s="8">
        <v>0</v>
      </c>
      <c r="F316" s="13">
        <f>1928+8246</f>
        <v>10174</v>
      </c>
      <c r="G316" s="8">
        <f t="shared" si="8"/>
        <v>-10174</v>
      </c>
    </row>
    <row r="317" spans="1:7" x14ac:dyDescent="0.25">
      <c r="A317" s="4">
        <v>225</v>
      </c>
      <c r="B317" s="4" t="s">
        <v>18</v>
      </c>
      <c r="C317" s="4">
        <v>2027</v>
      </c>
      <c r="D317" s="4">
        <v>51101</v>
      </c>
      <c r="E317" s="8">
        <v>0</v>
      </c>
      <c r="F317" s="13">
        <v>134326</v>
      </c>
      <c r="G317" s="8">
        <f t="shared" si="8"/>
        <v>-134326</v>
      </c>
    </row>
    <row r="318" spans="1:7" x14ac:dyDescent="0.25">
      <c r="A318" s="4">
        <v>225</v>
      </c>
      <c r="B318" s="4" t="s">
        <v>18</v>
      </c>
      <c r="C318" s="4">
        <v>2027</v>
      </c>
      <c r="D318" s="4">
        <v>52101</v>
      </c>
      <c r="E318" s="8">
        <v>0</v>
      </c>
      <c r="F318" s="13">
        <f>116+296+9539+24</f>
        <v>9975</v>
      </c>
      <c r="G318" s="8">
        <f t="shared" si="8"/>
        <v>-9975</v>
      </c>
    </row>
    <row r="319" spans="1:7" x14ac:dyDescent="0.25">
      <c r="A319" s="4">
        <v>225</v>
      </c>
      <c r="B319" s="4" t="s">
        <v>18</v>
      </c>
      <c r="C319" s="4">
        <v>2027</v>
      </c>
      <c r="D319" s="4">
        <v>52111</v>
      </c>
      <c r="E319" s="8">
        <v>0</v>
      </c>
      <c r="F319" s="13">
        <f>48+205+931+995</f>
        <v>2179</v>
      </c>
      <c r="G319" s="8">
        <f t="shared" si="8"/>
        <v>-2179</v>
      </c>
    </row>
    <row r="320" spans="1:7" x14ac:dyDescent="0.25">
      <c r="A320" s="4">
        <v>225</v>
      </c>
      <c r="B320" s="4" t="s">
        <v>18</v>
      </c>
      <c r="C320" s="4">
        <v>2027</v>
      </c>
      <c r="D320" s="4">
        <v>52201</v>
      </c>
      <c r="E320" s="8">
        <v>0</v>
      </c>
      <c r="F320" s="13">
        <f>1948+8328</f>
        <v>10276</v>
      </c>
      <c r="G320" s="8">
        <f t="shared" si="8"/>
        <v>-10276</v>
      </c>
    </row>
    <row r="321" spans="1:7" x14ac:dyDescent="0.25">
      <c r="A321" s="4">
        <v>225</v>
      </c>
      <c r="B321" s="4" t="s">
        <v>18</v>
      </c>
      <c r="C321" s="4">
        <v>2028</v>
      </c>
      <c r="D321" s="4">
        <v>51101</v>
      </c>
      <c r="E321" s="8">
        <v>0</v>
      </c>
      <c r="F321" s="13">
        <v>135658</v>
      </c>
      <c r="G321" s="8">
        <f t="shared" si="8"/>
        <v>-135658</v>
      </c>
    </row>
    <row r="322" spans="1:7" x14ac:dyDescent="0.25">
      <c r="A322" s="4">
        <v>225</v>
      </c>
      <c r="B322" s="4" t="s">
        <v>18</v>
      </c>
      <c r="C322" s="4">
        <v>2028</v>
      </c>
      <c r="D322" s="4">
        <v>52101</v>
      </c>
      <c r="E322" s="8">
        <v>0</v>
      </c>
      <c r="F322" s="13">
        <f>116+601+9539+24</f>
        <v>10280</v>
      </c>
      <c r="G322" s="8">
        <f t="shared" si="8"/>
        <v>-10280</v>
      </c>
    </row>
    <row r="323" spans="1:7" x14ac:dyDescent="0.25">
      <c r="A323" s="4">
        <v>225</v>
      </c>
      <c r="B323" s="4" t="s">
        <v>18</v>
      </c>
      <c r="C323" s="4">
        <v>2028</v>
      </c>
      <c r="D323" s="4">
        <v>52111</v>
      </c>
      <c r="E323" s="8">
        <v>0</v>
      </c>
      <c r="F323" s="13">
        <f>49+207+940+1005</f>
        <v>2201</v>
      </c>
      <c r="G323" s="8">
        <f t="shared" si="8"/>
        <v>-2201</v>
      </c>
    </row>
    <row r="324" spans="1:7" x14ac:dyDescent="0.25">
      <c r="A324" s="4">
        <v>225</v>
      </c>
      <c r="B324" s="4" t="s">
        <v>18</v>
      </c>
      <c r="C324" s="4">
        <v>2028</v>
      </c>
      <c r="D324" s="4">
        <v>52201</v>
      </c>
      <c r="E324" s="8">
        <v>0</v>
      </c>
      <c r="F324" s="13">
        <f>1967+8411</f>
        <v>10378</v>
      </c>
      <c r="G324" s="8">
        <f t="shared" si="8"/>
        <v>-10378</v>
      </c>
    </row>
    <row r="325" spans="1:7" x14ac:dyDescent="0.25">
      <c r="A325" s="4">
        <v>225</v>
      </c>
      <c r="B325" s="4" t="s">
        <v>18</v>
      </c>
      <c r="C325" s="4">
        <v>2029</v>
      </c>
      <c r="D325" s="4">
        <v>51101</v>
      </c>
      <c r="E325" s="8">
        <v>0</v>
      </c>
      <c r="F325" s="13">
        <v>137030</v>
      </c>
      <c r="G325" s="8">
        <f t="shared" si="8"/>
        <v>-137030</v>
      </c>
    </row>
    <row r="326" spans="1:7" x14ac:dyDescent="0.25">
      <c r="A326" s="4">
        <v>225</v>
      </c>
      <c r="B326" s="4" t="s">
        <v>18</v>
      </c>
      <c r="C326" s="4">
        <v>2029</v>
      </c>
      <c r="D326" s="4">
        <v>52101</v>
      </c>
      <c r="E326" s="8">
        <v>0</v>
      </c>
      <c r="F326" s="8">
        <f>116+915+9539+24</f>
        <v>10594</v>
      </c>
      <c r="G326" s="8">
        <f t="shared" si="8"/>
        <v>-10594</v>
      </c>
    </row>
    <row r="327" spans="1:7" x14ac:dyDescent="0.25">
      <c r="A327" s="4">
        <v>225</v>
      </c>
      <c r="B327" s="4" t="s">
        <v>18</v>
      </c>
      <c r="C327" s="4">
        <v>2029</v>
      </c>
      <c r="D327" s="4">
        <v>52111</v>
      </c>
      <c r="E327" s="8">
        <v>0</v>
      </c>
      <c r="F327" s="8">
        <f>49+209+950+1015</f>
        <v>2223</v>
      </c>
      <c r="G327" s="8">
        <f t="shared" si="8"/>
        <v>-2223</v>
      </c>
    </row>
    <row r="328" spans="1:7" x14ac:dyDescent="0.25">
      <c r="A328" s="4">
        <v>225</v>
      </c>
      <c r="B328" s="4" t="s">
        <v>18</v>
      </c>
      <c r="C328" s="4">
        <v>2029</v>
      </c>
      <c r="D328" s="4">
        <v>52201</v>
      </c>
      <c r="E328" s="8">
        <v>0</v>
      </c>
      <c r="F328" s="8">
        <f>1987+8496</f>
        <v>10483</v>
      </c>
      <c r="G328" s="8">
        <f t="shared" si="8"/>
        <v>-10483</v>
      </c>
    </row>
    <row r="329" spans="1:7" x14ac:dyDescent="0.25">
      <c r="A329" s="4">
        <v>225</v>
      </c>
      <c r="B329" s="4" t="s">
        <v>18</v>
      </c>
      <c r="C329" s="4">
        <v>2030</v>
      </c>
      <c r="D329" s="4">
        <v>51101</v>
      </c>
      <c r="E329" s="8">
        <v>0</v>
      </c>
      <c r="F329" s="8">
        <v>138403</v>
      </c>
      <c r="G329" s="8">
        <f t="shared" si="8"/>
        <v>-138403</v>
      </c>
    </row>
    <row r="330" spans="1:7" x14ac:dyDescent="0.25">
      <c r="A330" s="4">
        <v>225</v>
      </c>
      <c r="B330" s="4" t="s">
        <v>18</v>
      </c>
      <c r="C330" s="4">
        <v>2030</v>
      </c>
      <c r="D330" s="4">
        <v>52101</v>
      </c>
      <c r="E330" s="8">
        <v>0</v>
      </c>
      <c r="F330" s="8">
        <f>116+1239+9539+24</f>
        <v>10918</v>
      </c>
      <c r="G330" s="8">
        <f t="shared" si="8"/>
        <v>-10918</v>
      </c>
    </row>
    <row r="331" spans="1:7" x14ac:dyDescent="0.25">
      <c r="A331" s="4">
        <v>225</v>
      </c>
      <c r="B331" s="4" t="s">
        <v>18</v>
      </c>
      <c r="C331" s="4">
        <v>2030</v>
      </c>
      <c r="D331" s="4">
        <v>52111</v>
      </c>
      <c r="E331" s="8">
        <v>0</v>
      </c>
      <c r="F331" s="8">
        <f>50+211+959+1026</f>
        <v>2246</v>
      </c>
      <c r="G331" s="8">
        <f t="shared" si="8"/>
        <v>-2246</v>
      </c>
    </row>
    <row r="332" spans="1:7" x14ac:dyDescent="0.25">
      <c r="A332" s="4">
        <v>225</v>
      </c>
      <c r="B332" s="4" t="s">
        <v>18</v>
      </c>
      <c r="C332" s="4">
        <v>2030</v>
      </c>
      <c r="D332" s="4">
        <v>52201</v>
      </c>
      <c r="E332" s="8">
        <v>0</v>
      </c>
      <c r="F332" s="8">
        <f>2007+8581</f>
        <v>10588</v>
      </c>
      <c r="G332" s="8">
        <f t="shared" si="8"/>
        <v>-10588</v>
      </c>
    </row>
    <row r="333" spans="1:7" x14ac:dyDescent="0.25">
      <c r="E333" s="49" t="s">
        <v>13</v>
      </c>
      <c r="F333" s="49"/>
      <c r="G333" s="9">
        <f>SUM(G313:G332)</f>
        <v>-792764</v>
      </c>
    </row>
    <row r="335" spans="1:7" x14ac:dyDescent="0.25">
      <c r="A335" s="1" t="s">
        <v>51</v>
      </c>
    </row>
    <row r="336" spans="1:7" x14ac:dyDescent="0.25">
      <c r="A336" s="2" t="s">
        <v>2</v>
      </c>
      <c r="B336" s="2"/>
      <c r="C336" s="2" t="s">
        <v>3</v>
      </c>
      <c r="D336" s="2"/>
      <c r="E336" s="48"/>
      <c r="F336" s="48"/>
      <c r="G336" s="48"/>
    </row>
    <row r="337" spans="1:7" x14ac:dyDescent="0.25">
      <c r="A337" s="2" t="s">
        <v>4</v>
      </c>
      <c r="B337" s="2"/>
      <c r="C337" s="2" t="s">
        <v>5</v>
      </c>
      <c r="D337" s="2" t="s">
        <v>6</v>
      </c>
      <c r="E337" s="2" t="s">
        <v>7</v>
      </c>
      <c r="F337" s="2" t="s">
        <v>8</v>
      </c>
      <c r="G337" s="2" t="s">
        <v>9</v>
      </c>
    </row>
    <row r="338" spans="1:7" x14ac:dyDescent="0.25">
      <c r="A338" s="4">
        <v>225</v>
      </c>
      <c r="B338" s="4" t="s">
        <v>18</v>
      </c>
      <c r="C338" s="4">
        <v>2026</v>
      </c>
      <c r="D338" s="4">
        <v>54201</v>
      </c>
      <c r="E338" s="8">
        <v>2037275</v>
      </c>
      <c r="F338" s="8">
        <f>2037275+1876000+680352</f>
        <v>4593627</v>
      </c>
      <c r="G338" s="8">
        <f>E338-F338</f>
        <v>-2556352</v>
      </c>
    </row>
    <row r="339" spans="1:7" x14ac:dyDescent="0.25">
      <c r="A339" s="4">
        <v>225</v>
      </c>
      <c r="B339" s="4" t="s">
        <v>18</v>
      </c>
      <c r="C339" s="4">
        <v>2027</v>
      </c>
      <c r="D339" s="4">
        <v>54201</v>
      </c>
      <c r="E339" s="8">
        <v>2037275</v>
      </c>
      <c r="F339" s="8">
        <f>2037275+200000+100000</f>
        <v>2337275</v>
      </c>
      <c r="G339" s="8">
        <f>E339-F339</f>
        <v>-300000</v>
      </c>
    </row>
    <row r="340" spans="1:7" x14ac:dyDescent="0.25">
      <c r="A340" s="4">
        <v>225</v>
      </c>
      <c r="B340" s="4" t="s">
        <v>18</v>
      </c>
      <c r="C340" s="4">
        <v>2028</v>
      </c>
      <c r="D340" s="4">
        <v>54201</v>
      </c>
      <c r="E340" s="8">
        <v>2037275</v>
      </c>
      <c r="F340" s="8">
        <f t="shared" ref="F340:F342" si="9">2037275+200000+100000</f>
        <v>2337275</v>
      </c>
      <c r="G340" s="8">
        <f>E340-F340</f>
        <v>-300000</v>
      </c>
    </row>
    <row r="341" spans="1:7" x14ac:dyDescent="0.25">
      <c r="A341" s="4">
        <v>225</v>
      </c>
      <c r="B341" s="4" t="s">
        <v>18</v>
      </c>
      <c r="C341" s="4">
        <v>2029</v>
      </c>
      <c r="D341" s="4">
        <v>54201</v>
      </c>
      <c r="E341" s="8">
        <v>2037275</v>
      </c>
      <c r="F341" s="8">
        <f t="shared" si="9"/>
        <v>2337275</v>
      </c>
      <c r="G341" s="8">
        <f>E341-F341</f>
        <v>-300000</v>
      </c>
    </row>
    <row r="342" spans="1:7" x14ac:dyDescent="0.25">
      <c r="A342" s="4">
        <v>225</v>
      </c>
      <c r="B342" s="4" t="s">
        <v>18</v>
      </c>
      <c r="C342" s="4">
        <v>2030</v>
      </c>
      <c r="D342" s="4">
        <v>54201</v>
      </c>
      <c r="E342" s="8">
        <v>2037275</v>
      </c>
      <c r="F342" s="8">
        <f t="shared" si="9"/>
        <v>2337275</v>
      </c>
      <c r="G342" s="14">
        <f>E342-F342</f>
        <v>-300000</v>
      </c>
    </row>
    <row r="343" spans="1:7" x14ac:dyDescent="0.25">
      <c r="D343" s="11"/>
      <c r="E343" s="49" t="s">
        <v>13</v>
      </c>
      <c r="F343" s="49"/>
      <c r="G343" s="12">
        <f>SUM(G338:G342)</f>
        <v>-3756352</v>
      </c>
    </row>
    <row r="345" spans="1:7" x14ac:dyDescent="0.25">
      <c r="A345" s="1" t="s">
        <v>52</v>
      </c>
    </row>
    <row r="346" spans="1:7" x14ac:dyDescent="0.25">
      <c r="A346" s="2" t="s">
        <v>2</v>
      </c>
      <c r="B346" s="2"/>
      <c r="C346" s="2" t="s">
        <v>3</v>
      </c>
      <c r="D346" s="2"/>
      <c r="E346" s="48"/>
      <c r="F346" s="48"/>
      <c r="G346" s="48"/>
    </row>
    <row r="347" spans="1:7" x14ac:dyDescent="0.25">
      <c r="A347" s="2" t="s">
        <v>4</v>
      </c>
      <c r="B347" s="2"/>
      <c r="C347" s="2" t="s">
        <v>5</v>
      </c>
      <c r="D347" s="2" t="s">
        <v>6</v>
      </c>
      <c r="E347" s="2" t="s">
        <v>7</v>
      </c>
      <c r="F347" s="2" t="s">
        <v>8</v>
      </c>
      <c r="G347" s="2" t="s">
        <v>9</v>
      </c>
    </row>
    <row r="348" spans="1:7" x14ac:dyDescent="0.25">
      <c r="A348" s="4">
        <v>171</v>
      </c>
      <c r="B348" s="4" t="s">
        <v>10</v>
      </c>
      <c r="C348" s="4">
        <v>2026</v>
      </c>
      <c r="D348" s="4">
        <v>51101</v>
      </c>
      <c r="E348" s="8">
        <v>121243</v>
      </c>
      <c r="F348" s="8">
        <v>131518</v>
      </c>
      <c r="G348" s="8">
        <f t="shared" ref="G348:G362" si="10">E348-F348</f>
        <v>-10275</v>
      </c>
    </row>
    <row r="349" spans="1:7" x14ac:dyDescent="0.25">
      <c r="A349" s="4">
        <v>171</v>
      </c>
      <c r="B349" s="4" t="s">
        <v>10</v>
      </c>
      <c r="C349" s="4">
        <v>2026</v>
      </c>
      <c r="D349" s="4">
        <v>52111</v>
      </c>
      <c r="E349" s="8">
        <f>44+348+185+840+1874+898+60</f>
        <v>4249</v>
      </c>
      <c r="F349" s="8">
        <f>47+348+1111+2023+975+60</f>
        <v>4564</v>
      </c>
      <c r="G349" s="8">
        <f t="shared" si="10"/>
        <v>-315</v>
      </c>
    </row>
    <row r="350" spans="1:7" x14ac:dyDescent="0.25">
      <c r="A350" s="4">
        <v>171</v>
      </c>
      <c r="B350" s="4" t="s">
        <v>10</v>
      </c>
      <c r="C350" s="4">
        <v>2026</v>
      </c>
      <c r="D350" s="4">
        <v>52201</v>
      </c>
      <c r="E350" s="8">
        <v>8013</v>
      </c>
      <c r="F350" s="8">
        <v>8650</v>
      </c>
      <c r="G350" s="8">
        <f t="shared" si="10"/>
        <v>-637</v>
      </c>
    </row>
    <row r="351" spans="1:7" x14ac:dyDescent="0.25">
      <c r="A351" s="4">
        <v>171</v>
      </c>
      <c r="B351" s="4" t="s">
        <v>10</v>
      </c>
      <c r="C351" s="4">
        <v>2027</v>
      </c>
      <c r="D351" s="4">
        <v>51101</v>
      </c>
      <c r="E351" s="8">
        <v>122450</v>
      </c>
      <c r="F351" s="8">
        <v>132829</v>
      </c>
      <c r="G351" s="8">
        <f t="shared" si="10"/>
        <v>-10379</v>
      </c>
    </row>
    <row r="352" spans="1:7" x14ac:dyDescent="0.25">
      <c r="A352" s="4">
        <v>171</v>
      </c>
      <c r="B352" s="4" t="s">
        <v>10</v>
      </c>
      <c r="C352" s="4">
        <v>2027</v>
      </c>
      <c r="D352" s="4">
        <v>52111</v>
      </c>
      <c r="E352" s="8">
        <f>44+348+187+849+1892+967</f>
        <v>4287</v>
      </c>
      <c r="F352" s="8">
        <f>48+348+202+921+2042+984+60</f>
        <v>4605</v>
      </c>
      <c r="G352" s="8">
        <f t="shared" si="10"/>
        <v>-318</v>
      </c>
    </row>
    <row r="353" spans="1:7" x14ac:dyDescent="0.25">
      <c r="A353" s="4">
        <v>171</v>
      </c>
      <c r="B353" s="4" t="s">
        <v>10</v>
      </c>
      <c r="C353" s="4">
        <v>2027</v>
      </c>
      <c r="D353" s="4">
        <v>52201</v>
      </c>
      <c r="E353" s="8">
        <v>8088</v>
      </c>
      <c r="F353" s="8">
        <v>8731</v>
      </c>
      <c r="G353" s="8">
        <f t="shared" si="10"/>
        <v>-643</v>
      </c>
    </row>
    <row r="354" spans="1:7" x14ac:dyDescent="0.25">
      <c r="A354" s="4">
        <v>171</v>
      </c>
      <c r="B354" s="4" t="s">
        <v>10</v>
      </c>
      <c r="C354" s="4">
        <v>2028</v>
      </c>
      <c r="D354" s="4">
        <v>51101</v>
      </c>
      <c r="E354" s="8">
        <v>123677</v>
      </c>
      <c r="F354" s="8">
        <v>134160</v>
      </c>
      <c r="G354" s="8">
        <f t="shared" si="10"/>
        <v>-10483</v>
      </c>
    </row>
    <row r="355" spans="1:7" x14ac:dyDescent="0.25">
      <c r="A355" s="4">
        <v>171</v>
      </c>
      <c r="B355" s="4" t="s">
        <v>10</v>
      </c>
      <c r="C355" s="4">
        <v>2028</v>
      </c>
      <c r="D355" s="4">
        <v>52111</v>
      </c>
      <c r="E355" s="8">
        <f>45+348+188+857+1909+976</f>
        <v>4323</v>
      </c>
      <c r="F355" s="8">
        <f>48+348+204+930+2061+994+60</f>
        <v>4645</v>
      </c>
      <c r="G355" s="8">
        <f t="shared" si="10"/>
        <v>-322</v>
      </c>
    </row>
    <row r="356" spans="1:7" x14ac:dyDescent="0.25">
      <c r="A356" s="4">
        <v>171</v>
      </c>
      <c r="B356" s="4" t="s">
        <v>10</v>
      </c>
      <c r="C356" s="4">
        <v>2028</v>
      </c>
      <c r="D356" s="4">
        <v>52201</v>
      </c>
      <c r="E356" s="8">
        <v>8164</v>
      </c>
      <c r="F356" s="8">
        <v>8814</v>
      </c>
      <c r="G356" s="8">
        <f t="shared" si="10"/>
        <v>-650</v>
      </c>
    </row>
    <row r="357" spans="1:7" x14ac:dyDescent="0.25">
      <c r="A357" s="4">
        <v>171</v>
      </c>
      <c r="B357" s="4" t="s">
        <v>10</v>
      </c>
      <c r="C357" s="4">
        <v>2029</v>
      </c>
      <c r="D357" s="4">
        <v>51101</v>
      </c>
      <c r="E357" s="8">
        <v>124904</v>
      </c>
      <c r="F357" s="8">
        <v>135512</v>
      </c>
      <c r="G357" s="8">
        <f t="shared" si="10"/>
        <v>-10608</v>
      </c>
    </row>
    <row r="358" spans="1:7" x14ac:dyDescent="0.25">
      <c r="A358" s="4">
        <v>171</v>
      </c>
      <c r="B358" s="4" t="s">
        <v>10</v>
      </c>
      <c r="C358" s="4">
        <v>2029</v>
      </c>
      <c r="D358" s="4">
        <v>52111</v>
      </c>
      <c r="E358" s="8">
        <f>45+348+190+866+1927+986</f>
        <v>4362</v>
      </c>
      <c r="F358" s="8">
        <f>48+348+207+939+2081+1064</f>
        <v>4687</v>
      </c>
      <c r="G358" s="8">
        <f t="shared" si="10"/>
        <v>-325</v>
      </c>
    </row>
    <row r="359" spans="1:7" x14ac:dyDescent="0.25">
      <c r="A359" s="4">
        <v>171</v>
      </c>
      <c r="B359" s="4" t="s">
        <v>10</v>
      </c>
      <c r="C359" s="4">
        <v>2029</v>
      </c>
      <c r="D359" s="4">
        <v>52201</v>
      </c>
      <c r="E359" s="8">
        <v>8240</v>
      </c>
      <c r="F359" s="8">
        <v>8898</v>
      </c>
      <c r="G359" s="8">
        <f t="shared" si="10"/>
        <v>-658</v>
      </c>
    </row>
    <row r="360" spans="1:7" x14ac:dyDescent="0.25">
      <c r="A360" s="4">
        <v>171</v>
      </c>
      <c r="B360" s="4" t="s">
        <v>10</v>
      </c>
      <c r="C360" s="4">
        <v>2030</v>
      </c>
      <c r="D360" s="4">
        <v>51101</v>
      </c>
      <c r="E360" s="8">
        <v>126152</v>
      </c>
      <c r="F360" s="8">
        <v>136864</v>
      </c>
      <c r="G360" s="8">
        <f t="shared" si="10"/>
        <v>-10712</v>
      </c>
    </row>
    <row r="361" spans="1:7" x14ac:dyDescent="0.25">
      <c r="A361" s="4">
        <v>171</v>
      </c>
      <c r="B361" s="4" t="s">
        <v>10</v>
      </c>
      <c r="C361" s="4">
        <v>2030</v>
      </c>
      <c r="D361" s="4">
        <v>52111</v>
      </c>
      <c r="E361" s="8">
        <f>45+348+192+874+1945+995</f>
        <v>4399</v>
      </c>
      <c r="F361" s="8">
        <f>49+348+209+948+2101+1074</f>
        <v>4729</v>
      </c>
      <c r="G361" s="8">
        <f t="shared" si="10"/>
        <v>-330</v>
      </c>
    </row>
    <row r="362" spans="1:7" x14ac:dyDescent="0.25">
      <c r="A362" s="4">
        <v>171</v>
      </c>
      <c r="B362" s="4" t="s">
        <v>10</v>
      </c>
      <c r="C362" s="4">
        <v>2030</v>
      </c>
      <c r="D362" s="4">
        <v>52201</v>
      </c>
      <c r="E362" s="8">
        <v>8317</v>
      </c>
      <c r="F362" s="8">
        <v>8982</v>
      </c>
      <c r="G362" s="8">
        <f t="shared" si="10"/>
        <v>-665</v>
      </c>
    </row>
    <row r="363" spans="1:7" x14ac:dyDescent="0.25">
      <c r="E363" s="49" t="s">
        <v>13</v>
      </c>
      <c r="F363" s="49"/>
      <c r="G363" s="9">
        <f>SUM(G348:G362)</f>
        <v>-57320</v>
      </c>
    </row>
    <row r="365" spans="1:7" x14ac:dyDescent="0.25">
      <c r="A365" s="1" t="s">
        <v>53</v>
      </c>
    </row>
    <row r="366" spans="1:7" x14ac:dyDescent="0.25">
      <c r="A366" s="2" t="s">
        <v>2</v>
      </c>
      <c r="B366" s="2"/>
      <c r="C366" s="2" t="s">
        <v>3</v>
      </c>
      <c r="D366" s="2"/>
      <c r="E366" s="48"/>
      <c r="F366" s="48"/>
      <c r="G366" s="48"/>
    </row>
    <row r="367" spans="1:7" x14ac:dyDescent="0.25">
      <c r="A367" s="2" t="s">
        <v>4</v>
      </c>
      <c r="B367" s="2"/>
      <c r="C367" s="2" t="s">
        <v>5</v>
      </c>
      <c r="D367" s="2" t="s">
        <v>6</v>
      </c>
      <c r="E367" s="3" t="s">
        <v>7</v>
      </c>
      <c r="F367" s="2" t="s">
        <v>8</v>
      </c>
      <c r="G367" s="2" t="s">
        <v>9</v>
      </c>
    </row>
    <row r="368" spans="1:7" x14ac:dyDescent="0.25">
      <c r="A368" s="4">
        <v>172</v>
      </c>
      <c r="B368" s="4" t="s">
        <v>10</v>
      </c>
      <c r="C368" s="4">
        <v>2026</v>
      </c>
      <c r="D368" s="5">
        <v>57531</v>
      </c>
      <c r="E368" s="6">
        <v>1983750</v>
      </c>
      <c r="F368" s="7">
        <v>27000</v>
      </c>
      <c r="G368" s="8">
        <f>E368-F368</f>
        <v>1956750</v>
      </c>
    </row>
    <row r="369" spans="1:7" x14ac:dyDescent="0.25">
      <c r="A369" s="4">
        <v>172</v>
      </c>
      <c r="B369" s="4" t="s">
        <v>10</v>
      </c>
      <c r="C369" s="4">
        <v>2027</v>
      </c>
      <c r="D369" s="5">
        <v>57531</v>
      </c>
      <c r="E369" s="6">
        <v>1983750</v>
      </c>
      <c r="F369" s="7">
        <v>0</v>
      </c>
      <c r="G369" s="8">
        <f>E369-F369</f>
        <v>1983750</v>
      </c>
    </row>
    <row r="370" spans="1:7" x14ac:dyDescent="0.25">
      <c r="A370" s="4">
        <v>172</v>
      </c>
      <c r="B370" s="4" t="s">
        <v>10</v>
      </c>
      <c r="C370" s="4">
        <v>2028</v>
      </c>
      <c r="D370" s="5">
        <v>57531</v>
      </c>
      <c r="E370" s="6">
        <v>1983750</v>
      </c>
      <c r="F370" s="7">
        <v>0</v>
      </c>
      <c r="G370" s="8">
        <f>E370-F370</f>
        <v>1983750</v>
      </c>
    </row>
    <row r="371" spans="1:7" x14ac:dyDescent="0.25">
      <c r="A371" s="4">
        <v>172</v>
      </c>
      <c r="B371" s="4" t="s">
        <v>10</v>
      </c>
      <c r="C371" s="4">
        <v>2029</v>
      </c>
      <c r="D371" s="5">
        <v>57531</v>
      </c>
      <c r="E371" s="6">
        <v>1983750</v>
      </c>
      <c r="F371" s="7">
        <v>0</v>
      </c>
      <c r="G371" s="8">
        <f>E371-F371</f>
        <v>1983750</v>
      </c>
    </row>
    <row r="372" spans="1:7" x14ac:dyDescent="0.25">
      <c r="A372" s="4">
        <v>172</v>
      </c>
      <c r="B372" s="4" t="s">
        <v>10</v>
      </c>
      <c r="C372" s="4">
        <v>2030</v>
      </c>
      <c r="D372" s="5">
        <v>57531</v>
      </c>
      <c r="E372" s="6">
        <v>1983750</v>
      </c>
      <c r="F372" s="7">
        <v>0</v>
      </c>
      <c r="G372" s="8">
        <f>E372-F372</f>
        <v>1983750</v>
      </c>
    </row>
    <row r="373" spans="1:7" x14ac:dyDescent="0.25">
      <c r="E373" s="49" t="s">
        <v>13</v>
      </c>
      <c r="F373" s="49"/>
      <c r="G373" s="9">
        <f>SUM(G368:G372)</f>
        <v>9891750</v>
      </c>
    </row>
    <row r="375" spans="1:7" x14ac:dyDescent="0.25">
      <c r="A375" s="1" t="s">
        <v>54</v>
      </c>
    </row>
    <row r="376" spans="1:7" x14ac:dyDescent="0.25">
      <c r="A376" s="2" t="s">
        <v>2</v>
      </c>
      <c r="B376" s="2"/>
      <c r="C376" s="2" t="s">
        <v>3</v>
      </c>
      <c r="D376" s="2"/>
      <c r="E376" s="48"/>
      <c r="F376" s="48"/>
      <c r="G376" s="48"/>
    </row>
    <row r="377" spans="1:7" x14ac:dyDescent="0.25">
      <c r="A377" s="2" t="s">
        <v>4</v>
      </c>
      <c r="B377" s="2"/>
      <c r="C377" s="2" t="s">
        <v>5</v>
      </c>
      <c r="D377" s="2" t="s">
        <v>6</v>
      </c>
      <c r="E377" s="2" t="s">
        <v>7</v>
      </c>
      <c r="F377" s="2" t="s">
        <v>8</v>
      </c>
      <c r="G377" s="2" t="s">
        <v>9</v>
      </c>
    </row>
    <row r="378" spans="1:7" x14ac:dyDescent="0.25">
      <c r="A378" s="4">
        <v>187</v>
      </c>
      <c r="B378" s="4" t="s">
        <v>55</v>
      </c>
      <c r="C378" s="4">
        <v>2026</v>
      </c>
      <c r="D378" s="4">
        <v>51101</v>
      </c>
      <c r="E378" s="8">
        <v>627369.19999999995</v>
      </c>
      <c r="F378" s="8">
        <v>644608.64</v>
      </c>
      <c r="G378" s="8">
        <f>E378-F378</f>
        <v>-17239.440000000061</v>
      </c>
    </row>
    <row r="379" spans="1:7" x14ac:dyDescent="0.25">
      <c r="A379" s="4">
        <v>187</v>
      </c>
      <c r="B379" s="4" t="s">
        <v>55</v>
      </c>
      <c r="C379" s="4">
        <v>2027</v>
      </c>
      <c r="D379" s="4">
        <v>51101</v>
      </c>
      <c r="E379" s="8">
        <v>632049.19999999995</v>
      </c>
      <c r="F379" s="8">
        <v>651054.73</v>
      </c>
      <c r="G379" s="8">
        <f>E379-F379</f>
        <v>-19005.530000000028</v>
      </c>
    </row>
    <row r="380" spans="1:7" x14ac:dyDescent="0.25">
      <c r="A380" s="4">
        <v>187</v>
      </c>
      <c r="B380" s="4" t="s">
        <v>55</v>
      </c>
      <c r="C380" s="4">
        <v>2028</v>
      </c>
      <c r="D380" s="4">
        <v>51101</v>
      </c>
      <c r="E380" s="8">
        <v>636875.19999999995</v>
      </c>
      <c r="F380" s="8">
        <v>657565.27</v>
      </c>
      <c r="G380" s="8">
        <f>E380-F380</f>
        <v>-20690.070000000065</v>
      </c>
    </row>
    <row r="381" spans="1:7" x14ac:dyDescent="0.25">
      <c r="A381" s="4">
        <v>187</v>
      </c>
      <c r="B381" s="4" t="s">
        <v>55</v>
      </c>
      <c r="C381" s="4">
        <v>2029</v>
      </c>
      <c r="D381" s="4">
        <v>51101</v>
      </c>
      <c r="E381" s="8">
        <v>641825.19999999995</v>
      </c>
      <c r="F381" s="8">
        <v>664140.93000000005</v>
      </c>
      <c r="G381" s="8">
        <f>E381-F381</f>
        <v>-22315.730000000098</v>
      </c>
    </row>
    <row r="382" spans="1:7" x14ac:dyDescent="0.25">
      <c r="A382" s="4">
        <v>187</v>
      </c>
      <c r="B382" s="4" t="s">
        <v>55</v>
      </c>
      <c r="C382" s="4">
        <v>2030</v>
      </c>
      <c r="D382" s="4">
        <v>51101</v>
      </c>
      <c r="E382" s="8">
        <v>646672.19999999995</v>
      </c>
      <c r="F382" s="8">
        <v>670782.34</v>
      </c>
      <c r="G382" s="8">
        <f>E382-F382</f>
        <v>-24110.140000000014</v>
      </c>
    </row>
    <row r="383" spans="1:7" x14ac:dyDescent="0.25">
      <c r="E383" s="49" t="s">
        <v>13</v>
      </c>
      <c r="F383" s="49"/>
      <c r="G383" s="9">
        <f>SUM(G378:G382)</f>
        <v>-103360.91000000027</v>
      </c>
    </row>
    <row r="385" spans="1:7" x14ac:dyDescent="0.25">
      <c r="A385" s="1" t="s">
        <v>56</v>
      </c>
    </row>
    <row r="386" spans="1:7" x14ac:dyDescent="0.25">
      <c r="A386" s="2" t="s">
        <v>2</v>
      </c>
      <c r="B386" s="2"/>
      <c r="C386" s="2" t="s">
        <v>3</v>
      </c>
      <c r="D386" s="2"/>
      <c r="E386" s="48"/>
      <c r="F386" s="48"/>
      <c r="G386" s="48"/>
    </row>
    <row r="387" spans="1:7" x14ac:dyDescent="0.25">
      <c r="A387" s="2" t="s">
        <v>4</v>
      </c>
      <c r="B387" s="2"/>
      <c r="C387" s="2" t="s">
        <v>5</v>
      </c>
      <c r="D387" s="2" t="s">
        <v>6</v>
      </c>
      <c r="E387" s="2" t="s">
        <v>7</v>
      </c>
      <c r="F387" s="2" t="s">
        <v>8</v>
      </c>
      <c r="G387" s="2" t="s">
        <v>9</v>
      </c>
    </row>
    <row r="388" spans="1:7" x14ac:dyDescent="0.25">
      <c r="A388" s="4">
        <v>188</v>
      </c>
      <c r="B388" s="4" t="s">
        <v>55</v>
      </c>
      <c r="C388" s="4">
        <v>2026</v>
      </c>
      <c r="D388" s="4">
        <v>51101</v>
      </c>
      <c r="E388" s="8">
        <v>10000</v>
      </c>
      <c r="F388" s="8">
        <v>0</v>
      </c>
      <c r="G388" s="8">
        <f>E388-F388</f>
        <v>10000</v>
      </c>
    </row>
    <row r="389" spans="1:7" x14ac:dyDescent="0.25">
      <c r="A389" s="4">
        <v>188</v>
      </c>
      <c r="B389" s="4" t="s">
        <v>55</v>
      </c>
      <c r="C389" s="4">
        <v>2027</v>
      </c>
      <c r="D389" s="4">
        <v>51101</v>
      </c>
      <c r="E389" s="8">
        <v>10000</v>
      </c>
      <c r="F389" s="8">
        <v>0</v>
      </c>
      <c r="G389" s="8">
        <f>E389-F389</f>
        <v>10000</v>
      </c>
    </row>
    <row r="390" spans="1:7" x14ac:dyDescent="0.25">
      <c r="A390" s="4">
        <v>188</v>
      </c>
      <c r="B390" s="4" t="s">
        <v>55</v>
      </c>
      <c r="C390" s="4">
        <v>2028</v>
      </c>
      <c r="D390" s="4">
        <v>51101</v>
      </c>
      <c r="E390" s="8">
        <v>10000</v>
      </c>
      <c r="F390" s="8">
        <v>0</v>
      </c>
      <c r="G390" s="8">
        <f>E390-F390</f>
        <v>10000</v>
      </c>
    </row>
    <row r="391" spans="1:7" x14ac:dyDescent="0.25">
      <c r="A391" s="4">
        <v>188</v>
      </c>
      <c r="B391" s="4" t="s">
        <v>55</v>
      </c>
      <c r="C391" s="4">
        <v>2029</v>
      </c>
      <c r="D391" s="4">
        <v>51101</v>
      </c>
      <c r="E391" s="8">
        <v>10000</v>
      </c>
      <c r="F391" s="8">
        <v>0</v>
      </c>
      <c r="G391" s="8">
        <f>E391-F391</f>
        <v>10000</v>
      </c>
    </row>
    <row r="392" spans="1:7" x14ac:dyDescent="0.25">
      <c r="A392" s="4">
        <v>188</v>
      </c>
      <c r="B392" s="4" t="s">
        <v>55</v>
      </c>
      <c r="C392" s="4">
        <v>2030</v>
      </c>
      <c r="D392" s="4">
        <v>51101</v>
      </c>
      <c r="E392" s="8">
        <v>10000</v>
      </c>
      <c r="F392" s="8">
        <v>0</v>
      </c>
      <c r="G392" s="8">
        <f>E392-F392</f>
        <v>10000</v>
      </c>
    </row>
    <row r="393" spans="1:7" x14ac:dyDescent="0.25">
      <c r="E393" s="49" t="s">
        <v>13</v>
      </c>
      <c r="F393" s="49"/>
      <c r="G393" s="9">
        <f>SUM(G388:G392)</f>
        <v>50000</v>
      </c>
    </row>
    <row r="395" spans="1:7" x14ac:dyDescent="0.25">
      <c r="A395" s="1" t="s">
        <v>57</v>
      </c>
    </row>
    <row r="396" spans="1:7" x14ac:dyDescent="0.25">
      <c r="A396" s="2" t="s">
        <v>2</v>
      </c>
      <c r="B396" s="2"/>
      <c r="C396" s="2" t="s">
        <v>3</v>
      </c>
      <c r="D396" s="2"/>
      <c r="E396" s="48"/>
      <c r="F396" s="48"/>
      <c r="G396" s="48"/>
    </row>
    <row r="397" spans="1:7" x14ac:dyDescent="0.25">
      <c r="A397" s="2" t="s">
        <v>4</v>
      </c>
      <c r="B397" s="2"/>
      <c r="C397" s="2" t="s">
        <v>5</v>
      </c>
      <c r="D397" s="2" t="s">
        <v>6</v>
      </c>
      <c r="E397" s="2" t="s">
        <v>7</v>
      </c>
      <c r="F397" s="2" t="s">
        <v>8</v>
      </c>
      <c r="G397" s="2" t="s">
        <v>9</v>
      </c>
    </row>
    <row r="398" spans="1:7" x14ac:dyDescent="0.25">
      <c r="A398" s="4" t="s">
        <v>32</v>
      </c>
      <c r="B398" s="4" t="s">
        <v>32</v>
      </c>
      <c r="C398" s="4">
        <v>2026</v>
      </c>
      <c r="D398" s="4">
        <v>52101</v>
      </c>
      <c r="E398" s="8">
        <v>0</v>
      </c>
      <c r="F398" s="8">
        <v>5000000</v>
      </c>
      <c r="G398" s="8">
        <f>E398-F398</f>
        <v>-5000000</v>
      </c>
    </row>
    <row r="399" spans="1:7" x14ac:dyDescent="0.25">
      <c r="E399" s="49" t="s">
        <v>13</v>
      </c>
      <c r="F399" s="49"/>
      <c r="G399" s="9">
        <f>SUM(G398:G398)</f>
        <v>-5000000</v>
      </c>
    </row>
    <row r="401" spans="1:7" x14ac:dyDescent="0.25">
      <c r="A401" s="1" t="s">
        <v>58</v>
      </c>
    </row>
    <row r="402" spans="1:7" x14ac:dyDescent="0.25">
      <c r="A402" s="2" t="s">
        <v>2</v>
      </c>
      <c r="B402" s="2"/>
      <c r="C402" s="2" t="s">
        <v>3</v>
      </c>
      <c r="D402" s="2"/>
      <c r="E402" s="48"/>
      <c r="F402" s="48"/>
      <c r="G402" s="48"/>
    </row>
    <row r="403" spans="1:7" x14ac:dyDescent="0.25">
      <c r="A403" s="2" t="s">
        <v>4</v>
      </c>
      <c r="B403" s="2"/>
      <c r="C403" s="2" t="s">
        <v>5</v>
      </c>
      <c r="D403" s="2" t="s">
        <v>6</v>
      </c>
      <c r="E403" s="2" t="s">
        <v>7</v>
      </c>
      <c r="F403" s="2" t="s">
        <v>8</v>
      </c>
      <c r="G403" s="2" t="s">
        <v>9</v>
      </c>
    </row>
    <row r="404" spans="1:7" x14ac:dyDescent="0.25">
      <c r="A404" s="4">
        <v>135</v>
      </c>
      <c r="B404" s="4" t="s">
        <v>20</v>
      </c>
      <c r="C404" s="4">
        <v>2026</v>
      </c>
      <c r="D404" s="4">
        <v>52101</v>
      </c>
      <c r="E404" s="8">
        <v>0</v>
      </c>
      <c r="F404" s="8">
        <v>3500000</v>
      </c>
      <c r="G404" s="8">
        <f>E404-F404</f>
        <v>-3500000</v>
      </c>
    </row>
    <row r="405" spans="1:7" x14ac:dyDescent="0.25">
      <c r="A405" s="4">
        <v>135</v>
      </c>
      <c r="B405" s="4" t="s">
        <v>20</v>
      </c>
      <c r="C405" s="4">
        <v>2027</v>
      </c>
      <c r="D405" s="4">
        <v>52101</v>
      </c>
      <c r="E405" s="8">
        <v>0</v>
      </c>
      <c r="F405" s="8">
        <v>3500000</v>
      </c>
      <c r="G405" s="8">
        <f>E405-F405</f>
        <v>-3500000</v>
      </c>
    </row>
    <row r="406" spans="1:7" x14ac:dyDescent="0.25">
      <c r="E406" s="49" t="s">
        <v>13</v>
      </c>
      <c r="F406" s="49"/>
      <c r="G406" s="9">
        <f>SUM(G404:G405)</f>
        <v>-7000000</v>
      </c>
    </row>
    <row r="408" spans="1:7" x14ac:dyDescent="0.25">
      <c r="A408" s="1" t="s">
        <v>59</v>
      </c>
    </row>
    <row r="409" spans="1:7" x14ac:dyDescent="0.25">
      <c r="A409" s="2" t="s">
        <v>2</v>
      </c>
      <c r="B409" s="2"/>
      <c r="C409" s="2" t="s">
        <v>3</v>
      </c>
      <c r="D409" s="2"/>
      <c r="E409" s="48"/>
      <c r="F409" s="48"/>
      <c r="G409" s="48"/>
    </row>
    <row r="410" spans="1:7" x14ac:dyDescent="0.25">
      <c r="A410" s="2" t="s">
        <v>4</v>
      </c>
      <c r="B410" s="2"/>
      <c r="C410" s="2" t="s">
        <v>5</v>
      </c>
      <c r="D410" s="2" t="s">
        <v>6</v>
      </c>
      <c r="E410" s="2" t="s">
        <v>7</v>
      </c>
      <c r="F410" s="2" t="s">
        <v>8</v>
      </c>
      <c r="G410" s="2" t="s">
        <v>9</v>
      </c>
    </row>
    <row r="411" spans="1:7" x14ac:dyDescent="0.25">
      <c r="A411" s="4">
        <v>135</v>
      </c>
      <c r="B411" s="4" t="s">
        <v>20</v>
      </c>
      <c r="C411" s="4">
        <v>2026</v>
      </c>
      <c r="D411" s="4">
        <v>52121</v>
      </c>
      <c r="E411" s="8">
        <v>-12000000</v>
      </c>
      <c r="F411" s="8">
        <v>-6000000</v>
      </c>
      <c r="G411" s="8">
        <f>E411-F411</f>
        <v>-6000000</v>
      </c>
    </row>
    <row r="412" spans="1:7" x14ac:dyDescent="0.25">
      <c r="E412" s="49" t="s">
        <v>13</v>
      </c>
      <c r="F412" s="49"/>
      <c r="G412" s="9">
        <f>SUM(G411:G411)</f>
        <v>-6000000</v>
      </c>
    </row>
    <row r="414" spans="1:7" x14ac:dyDescent="0.25">
      <c r="A414" s="1" t="s">
        <v>60</v>
      </c>
    </row>
    <row r="415" spans="1:7" x14ac:dyDescent="0.25">
      <c r="A415" s="2" t="s">
        <v>2</v>
      </c>
      <c r="B415" s="2"/>
      <c r="C415" s="2" t="s">
        <v>3</v>
      </c>
      <c r="D415" s="2"/>
      <c r="E415" s="48"/>
      <c r="F415" s="48"/>
      <c r="G415" s="48"/>
    </row>
    <row r="416" spans="1:7" x14ac:dyDescent="0.25">
      <c r="A416" s="2" t="s">
        <v>4</v>
      </c>
      <c r="B416" s="2"/>
      <c r="C416" s="2" t="s">
        <v>5</v>
      </c>
      <c r="D416" s="2" t="s">
        <v>6</v>
      </c>
      <c r="E416" s="2" t="s">
        <v>7</v>
      </c>
      <c r="F416" s="2" t="s">
        <v>8</v>
      </c>
      <c r="G416" s="2" t="s">
        <v>9</v>
      </c>
    </row>
    <row r="417" spans="1:7" x14ac:dyDescent="0.25">
      <c r="A417" s="4">
        <v>135</v>
      </c>
      <c r="B417" s="4" t="s">
        <v>20</v>
      </c>
      <c r="C417" s="4">
        <v>2026</v>
      </c>
      <c r="D417" s="4">
        <v>51101</v>
      </c>
      <c r="E417" s="8">
        <v>132995</v>
      </c>
      <c r="F417" s="8">
        <v>137030</v>
      </c>
      <c r="G417" s="8">
        <f t="shared" ref="G417:G431" si="11">E417-F417</f>
        <v>-4035</v>
      </c>
    </row>
    <row r="418" spans="1:7" x14ac:dyDescent="0.25">
      <c r="A418" s="4">
        <v>135</v>
      </c>
      <c r="B418" s="4" t="s">
        <v>20</v>
      </c>
      <c r="C418" s="4">
        <v>2026</v>
      </c>
      <c r="D418" s="4">
        <v>52111</v>
      </c>
      <c r="E418" s="8">
        <f>48+116+203+922+1928+985+24</f>
        <v>4226</v>
      </c>
      <c r="F418" s="8">
        <f>116+49+209+950+1987+1015+24</f>
        <v>4350</v>
      </c>
      <c r="G418" s="8">
        <f t="shared" si="11"/>
        <v>-124</v>
      </c>
    </row>
    <row r="419" spans="1:7" x14ac:dyDescent="0.25">
      <c r="A419" s="4">
        <v>135</v>
      </c>
      <c r="B419" s="4" t="s">
        <v>20</v>
      </c>
      <c r="C419" s="4">
        <v>2026</v>
      </c>
      <c r="D419" s="4">
        <v>52201</v>
      </c>
      <c r="E419" s="8">
        <v>8246</v>
      </c>
      <c r="F419" s="8">
        <v>8496</v>
      </c>
      <c r="G419" s="8">
        <f t="shared" si="11"/>
        <v>-250</v>
      </c>
    </row>
    <row r="420" spans="1:7" x14ac:dyDescent="0.25">
      <c r="A420" s="4">
        <v>135</v>
      </c>
      <c r="B420" s="4" t="s">
        <v>20</v>
      </c>
      <c r="C420" s="4">
        <v>2027</v>
      </c>
      <c r="D420" s="4">
        <v>51101</v>
      </c>
      <c r="E420" s="8">
        <v>134326</v>
      </c>
      <c r="F420" s="8">
        <v>138382</v>
      </c>
      <c r="G420" s="8">
        <f t="shared" si="11"/>
        <v>-4056</v>
      </c>
    </row>
    <row r="421" spans="1:7" x14ac:dyDescent="0.25">
      <c r="A421" s="4">
        <v>135</v>
      </c>
      <c r="B421" s="4" t="s">
        <v>20</v>
      </c>
      <c r="C421" s="4">
        <v>2027</v>
      </c>
      <c r="D421" s="4">
        <v>52111</v>
      </c>
      <c r="E421" s="8">
        <f>116+48+205+931+1948+995+24</f>
        <v>4267</v>
      </c>
      <c r="F421" s="8">
        <f>116+50+211+959+2007+1049</f>
        <v>4392</v>
      </c>
      <c r="G421" s="8">
        <f t="shared" si="11"/>
        <v>-125</v>
      </c>
    </row>
    <row r="422" spans="1:7" x14ac:dyDescent="0.25">
      <c r="A422" s="4">
        <v>135</v>
      </c>
      <c r="B422" s="4" t="s">
        <v>20</v>
      </c>
      <c r="C422" s="4">
        <v>2027</v>
      </c>
      <c r="D422" s="4">
        <v>52201</v>
      </c>
      <c r="E422" s="8">
        <v>8328</v>
      </c>
      <c r="F422" s="8">
        <v>8580</v>
      </c>
      <c r="G422" s="8">
        <f t="shared" si="11"/>
        <v>-252</v>
      </c>
    </row>
    <row r="423" spans="1:7" x14ac:dyDescent="0.25">
      <c r="A423" s="4">
        <v>135</v>
      </c>
      <c r="B423" s="4" t="s">
        <v>20</v>
      </c>
      <c r="C423" s="4">
        <v>2028</v>
      </c>
      <c r="D423" s="4">
        <v>51101</v>
      </c>
      <c r="E423" s="8">
        <v>135658</v>
      </c>
      <c r="F423" s="8">
        <v>139776</v>
      </c>
      <c r="G423" s="8">
        <f t="shared" si="11"/>
        <v>-4118</v>
      </c>
    </row>
    <row r="424" spans="1:7" x14ac:dyDescent="0.25">
      <c r="A424" s="4">
        <v>135</v>
      </c>
      <c r="B424" s="4" t="s">
        <v>20</v>
      </c>
      <c r="C424" s="4">
        <v>2028</v>
      </c>
      <c r="D424" s="4">
        <v>52111</v>
      </c>
      <c r="E424" s="8">
        <f>116+49+207+940+1967+1029</f>
        <v>4308</v>
      </c>
      <c r="F424" s="8">
        <f>116+50+213+969+2027+1060</f>
        <v>4435</v>
      </c>
      <c r="G424" s="8">
        <f t="shared" si="11"/>
        <v>-127</v>
      </c>
    </row>
    <row r="425" spans="1:7" x14ac:dyDescent="0.25">
      <c r="A425" s="4">
        <v>135</v>
      </c>
      <c r="B425" s="4" t="s">
        <v>20</v>
      </c>
      <c r="C425" s="4">
        <v>2028</v>
      </c>
      <c r="D425" s="4">
        <v>52201</v>
      </c>
      <c r="E425" s="8">
        <v>8411</v>
      </c>
      <c r="F425" s="8">
        <v>8666</v>
      </c>
      <c r="G425" s="8">
        <f t="shared" si="11"/>
        <v>-255</v>
      </c>
    </row>
    <row r="426" spans="1:7" x14ac:dyDescent="0.25">
      <c r="A426" s="4">
        <v>135</v>
      </c>
      <c r="B426" s="4" t="s">
        <v>20</v>
      </c>
      <c r="C426" s="4">
        <v>2029</v>
      </c>
      <c r="D426" s="4">
        <v>51101</v>
      </c>
      <c r="E426" s="8">
        <v>137030</v>
      </c>
      <c r="F426" s="8">
        <v>141190</v>
      </c>
      <c r="G426" s="8">
        <f t="shared" si="11"/>
        <v>-4160</v>
      </c>
    </row>
    <row r="427" spans="1:7" x14ac:dyDescent="0.25">
      <c r="A427" s="4">
        <v>135</v>
      </c>
      <c r="B427" s="4" t="s">
        <v>20</v>
      </c>
      <c r="C427" s="4">
        <v>2029</v>
      </c>
      <c r="D427" s="4">
        <v>52111</v>
      </c>
      <c r="E427" s="8">
        <f>116+49+209+950+1987+1039</f>
        <v>4350</v>
      </c>
      <c r="F427" s="8">
        <f>116+51+215+978+2047+1070</f>
        <v>4477</v>
      </c>
      <c r="G427" s="8">
        <f t="shared" si="11"/>
        <v>-127</v>
      </c>
    </row>
    <row r="428" spans="1:7" x14ac:dyDescent="0.25">
      <c r="A428" s="4">
        <v>135</v>
      </c>
      <c r="B428" s="4" t="s">
        <v>20</v>
      </c>
      <c r="C428" s="4">
        <v>2029</v>
      </c>
      <c r="D428" s="4">
        <v>52201</v>
      </c>
      <c r="E428" s="8">
        <v>8496</v>
      </c>
      <c r="F428" s="8">
        <v>8754</v>
      </c>
      <c r="G428" s="8">
        <f t="shared" si="11"/>
        <v>-258</v>
      </c>
    </row>
    <row r="429" spans="1:7" x14ac:dyDescent="0.25">
      <c r="A429" s="4">
        <v>135</v>
      </c>
      <c r="B429" s="4" t="s">
        <v>20</v>
      </c>
      <c r="C429" s="4">
        <v>2030</v>
      </c>
      <c r="D429" s="4">
        <v>51101</v>
      </c>
      <c r="E429" s="8">
        <v>138403</v>
      </c>
      <c r="F429" s="8">
        <v>142584</v>
      </c>
      <c r="G429" s="8">
        <f t="shared" si="11"/>
        <v>-4181</v>
      </c>
    </row>
    <row r="430" spans="1:7" x14ac:dyDescent="0.25">
      <c r="A430" s="4">
        <v>135</v>
      </c>
      <c r="B430" s="4" t="s">
        <v>20</v>
      </c>
      <c r="C430" s="4">
        <v>2030</v>
      </c>
      <c r="D430" s="4">
        <v>52111</v>
      </c>
      <c r="E430" s="8">
        <f>166+211+959+2007+1026+24</f>
        <v>4393</v>
      </c>
      <c r="F430" s="8">
        <f>116+51+217+988+2067+1057+24</f>
        <v>4520</v>
      </c>
      <c r="G430" s="8">
        <f t="shared" si="11"/>
        <v>-127</v>
      </c>
    </row>
    <row r="431" spans="1:7" x14ac:dyDescent="0.25">
      <c r="A431" s="4">
        <v>135</v>
      </c>
      <c r="B431" s="4" t="s">
        <v>20</v>
      </c>
      <c r="C431" s="4">
        <v>2030</v>
      </c>
      <c r="D431" s="4">
        <v>52201</v>
      </c>
      <c r="E431" s="8">
        <v>8581</v>
      </c>
      <c r="F431" s="8">
        <v>8840</v>
      </c>
      <c r="G431" s="8">
        <f t="shared" si="11"/>
        <v>-259</v>
      </c>
    </row>
    <row r="432" spans="1:7" x14ac:dyDescent="0.25">
      <c r="E432" s="49" t="s">
        <v>13</v>
      </c>
      <c r="F432" s="49"/>
      <c r="G432" s="9">
        <f>SUM(G417:G431)</f>
        <v>-22454</v>
      </c>
    </row>
    <row r="434" spans="1:7" x14ac:dyDescent="0.25">
      <c r="A434" s="1" t="s">
        <v>61</v>
      </c>
    </row>
    <row r="435" spans="1:7" x14ac:dyDescent="0.25">
      <c r="A435" s="2" t="s">
        <v>2</v>
      </c>
      <c r="B435" s="2"/>
      <c r="C435" s="2" t="s">
        <v>3</v>
      </c>
      <c r="D435" s="2"/>
      <c r="E435" s="48"/>
      <c r="F435" s="48"/>
      <c r="G435" s="48"/>
    </row>
    <row r="436" spans="1:7" x14ac:dyDescent="0.25">
      <c r="A436" s="2" t="s">
        <v>4</v>
      </c>
      <c r="B436" s="2"/>
      <c r="C436" s="2" t="s">
        <v>5</v>
      </c>
      <c r="D436" s="2" t="s">
        <v>6</v>
      </c>
      <c r="E436" s="2" t="s">
        <v>7</v>
      </c>
      <c r="F436" s="2" t="s">
        <v>8</v>
      </c>
      <c r="G436" s="2" t="s">
        <v>9</v>
      </c>
    </row>
    <row r="437" spans="1:7" x14ac:dyDescent="0.25">
      <c r="A437" s="4">
        <v>135</v>
      </c>
      <c r="B437" s="4" t="s">
        <v>20</v>
      </c>
      <c r="C437" s="4">
        <v>2026</v>
      </c>
      <c r="D437" s="4">
        <v>51101</v>
      </c>
      <c r="E437" s="8">
        <v>114046</v>
      </c>
      <c r="F437" s="8">
        <v>120827</v>
      </c>
      <c r="G437" s="8">
        <f>E437-F437</f>
        <v>-6781</v>
      </c>
    </row>
    <row r="438" spans="1:7" x14ac:dyDescent="0.25">
      <c r="A438" s="4">
        <v>135</v>
      </c>
      <c r="B438" s="4" t="s">
        <v>20</v>
      </c>
      <c r="C438" s="4">
        <v>2026</v>
      </c>
      <c r="D438" s="4">
        <v>52111</v>
      </c>
      <c r="E438" s="8">
        <f>291+174+790+1654+845+60</f>
        <v>3814</v>
      </c>
      <c r="F438" s="8">
        <f>293+184+837+1752+895+60</f>
        <v>4021</v>
      </c>
      <c r="G438" s="8">
        <f t="shared" ref="G438:G451" si="12">E438-F438</f>
        <v>-207</v>
      </c>
    </row>
    <row r="439" spans="1:7" x14ac:dyDescent="0.25">
      <c r="A439" s="4">
        <v>135</v>
      </c>
      <c r="B439" s="4" t="s">
        <v>20</v>
      </c>
      <c r="C439" s="4">
        <v>2026</v>
      </c>
      <c r="D439" s="4">
        <v>52201</v>
      </c>
      <c r="E439" s="8">
        <v>7071</v>
      </c>
      <c r="F439" s="8">
        <v>7491</v>
      </c>
      <c r="G439" s="8">
        <f t="shared" si="12"/>
        <v>-420</v>
      </c>
    </row>
    <row r="440" spans="1:7" x14ac:dyDescent="0.25">
      <c r="A440" s="4">
        <v>135</v>
      </c>
      <c r="B440" s="4" t="s">
        <v>20</v>
      </c>
      <c r="C440" s="4">
        <v>2027</v>
      </c>
      <c r="D440" s="4">
        <v>51101</v>
      </c>
      <c r="E440" s="8">
        <v>115910</v>
      </c>
      <c r="F440" s="8">
        <v>122034</v>
      </c>
      <c r="G440" s="8">
        <f t="shared" si="12"/>
        <v>-6124</v>
      </c>
    </row>
    <row r="441" spans="1:7" x14ac:dyDescent="0.25">
      <c r="A441" s="4">
        <v>135</v>
      </c>
      <c r="B441" s="4" t="s">
        <v>20</v>
      </c>
      <c r="C441" s="4">
        <v>2027</v>
      </c>
      <c r="D441" s="4">
        <v>52111</v>
      </c>
      <c r="E441" s="8">
        <f>291+176+798+1640+854+60</f>
        <v>3819</v>
      </c>
      <c r="F441" s="8">
        <f>294+186+846+1769+904+60</f>
        <v>4059</v>
      </c>
      <c r="G441" s="8">
        <f t="shared" si="12"/>
        <v>-240</v>
      </c>
    </row>
    <row r="442" spans="1:7" x14ac:dyDescent="0.25">
      <c r="A442" s="4">
        <v>135</v>
      </c>
      <c r="B442" s="4" t="s">
        <v>20</v>
      </c>
      <c r="C442" s="4">
        <v>2027</v>
      </c>
      <c r="D442" s="4">
        <v>52201</v>
      </c>
      <c r="E442" s="8">
        <v>7142</v>
      </c>
      <c r="F442" s="8">
        <v>7566</v>
      </c>
      <c r="G442" s="8">
        <f t="shared" si="12"/>
        <v>-424</v>
      </c>
    </row>
    <row r="443" spans="1:7" x14ac:dyDescent="0.25">
      <c r="A443" s="4">
        <v>135</v>
      </c>
      <c r="B443" s="4" t="s">
        <v>20</v>
      </c>
      <c r="C443" s="4">
        <v>2028</v>
      </c>
      <c r="D443" s="4">
        <v>51101</v>
      </c>
      <c r="E443" s="8">
        <v>116334</v>
      </c>
      <c r="F443" s="8">
        <v>123261</v>
      </c>
      <c r="G443" s="8">
        <f t="shared" si="12"/>
        <v>-6927</v>
      </c>
    </row>
    <row r="444" spans="1:7" x14ac:dyDescent="0.25">
      <c r="A444" s="4">
        <v>135</v>
      </c>
      <c r="B444" s="4" t="s">
        <v>20</v>
      </c>
      <c r="C444" s="4">
        <v>2028</v>
      </c>
      <c r="D444" s="4">
        <v>52111</v>
      </c>
      <c r="E444" s="8">
        <f>291+177+806+1687+862+60</f>
        <v>3883</v>
      </c>
      <c r="F444" s="8">
        <f>294+188+854+1787+913+60</f>
        <v>4096</v>
      </c>
      <c r="G444" s="8">
        <f t="shared" si="12"/>
        <v>-213</v>
      </c>
    </row>
    <row r="445" spans="1:7" x14ac:dyDescent="0.25">
      <c r="A445" s="4">
        <v>135</v>
      </c>
      <c r="B445" s="4" t="s">
        <v>20</v>
      </c>
      <c r="C445" s="4">
        <v>2028</v>
      </c>
      <c r="D445" s="4">
        <v>52201</v>
      </c>
      <c r="E445" s="8">
        <v>7213</v>
      </c>
      <c r="F445" s="8">
        <v>7642</v>
      </c>
      <c r="G445" s="8">
        <f t="shared" si="12"/>
        <v>-429</v>
      </c>
    </row>
    <row r="446" spans="1:7" x14ac:dyDescent="0.25">
      <c r="A446" s="4">
        <v>135</v>
      </c>
      <c r="B446" s="4" t="s">
        <v>20</v>
      </c>
      <c r="C446" s="4">
        <v>2029</v>
      </c>
      <c r="D446" s="4">
        <v>51101</v>
      </c>
      <c r="E446" s="8">
        <v>117499</v>
      </c>
      <c r="F446" s="8">
        <v>124488</v>
      </c>
      <c r="G446" s="8">
        <f t="shared" si="12"/>
        <v>-6989</v>
      </c>
    </row>
    <row r="447" spans="1:7" x14ac:dyDescent="0.25">
      <c r="A447" s="4">
        <v>135</v>
      </c>
      <c r="B447" s="4" t="s">
        <v>20</v>
      </c>
      <c r="C447" s="4">
        <v>2029</v>
      </c>
      <c r="D447" s="4">
        <v>52111</v>
      </c>
      <c r="E447" s="8">
        <f>292+179+814+1704+871+60</f>
        <v>3920</v>
      </c>
      <c r="F447" s="8">
        <f>295+190+863+1805+922+60</f>
        <v>4135</v>
      </c>
      <c r="G447" s="8">
        <f t="shared" si="12"/>
        <v>-215</v>
      </c>
    </row>
    <row r="448" spans="1:7" x14ac:dyDescent="0.25">
      <c r="A448" s="4">
        <v>135</v>
      </c>
      <c r="B448" s="4" t="s">
        <v>20</v>
      </c>
      <c r="C448" s="4">
        <v>2029</v>
      </c>
      <c r="D448" s="4">
        <v>52201</v>
      </c>
      <c r="E448" s="8">
        <v>7285</v>
      </c>
      <c r="F448" s="8">
        <v>7718</v>
      </c>
      <c r="G448" s="8">
        <f t="shared" si="12"/>
        <v>-433</v>
      </c>
    </row>
    <row r="449" spans="1:7" x14ac:dyDescent="0.25">
      <c r="A449" s="4">
        <v>135</v>
      </c>
      <c r="B449" s="4" t="s">
        <v>20</v>
      </c>
      <c r="C449" s="4">
        <v>2030</v>
      </c>
      <c r="D449" s="4">
        <v>51101</v>
      </c>
      <c r="E449" s="8">
        <v>118865</v>
      </c>
      <c r="F449" s="8">
        <v>125736</v>
      </c>
      <c r="G449" s="8">
        <f t="shared" si="12"/>
        <v>-6871</v>
      </c>
    </row>
    <row r="450" spans="1:7" x14ac:dyDescent="0.25">
      <c r="A450" s="4">
        <v>135</v>
      </c>
      <c r="B450" s="4" t="s">
        <v>20</v>
      </c>
      <c r="C450" s="4">
        <v>2030</v>
      </c>
      <c r="D450" s="4">
        <v>52111</v>
      </c>
      <c r="E450" s="8">
        <f>293+181+822+1721+879+60</f>
        <v>3956</v>
      </c>
      <c r="F450" s="8">
        <f>295+192+871+1823+932+60</f>
        <v>4173</v>
      </c>
      <c r="G450" s="8">
        <f t="shared" si="12"/>
        <v>-217</v>
      </c>
    </row>
    <row r="451" spans="1:7" x14ac:dyDescent="0.25">
      <c r="A451" s="4">
        <v>135</v>
      </c>
      <c r="B451" s="4" t="s">
        <v>20</v>
      </c>
      <c r="C451" s="4">
        <v>2030</v>
      </c>
      <c r="D451" s="4">
        <v>52201</v>
      </c>
      <c r="E451" s="8">
        <v>7358</v>
      </c>
      <c r="F451" s="8">
        <v>7796</v>
      </c>
      <c r="G451" s="8">
        <f t="shared" si="12"/>
        <v>-438</v>
      </c>
    </row>
    <row r="452" spans="1:7" x14ac:dyDescent="0.25">
      <c r="E452" s="49" t="s">
        <v>13</v>
      </c>
      <c r="F452" s="49"/>
      <c r="G452" s="9">
        <f>SUM(G437:G451)</f>
        <v>-36928</v>
      </c>
    </row>
    <row r="454" spans="1:7" x14ac:dyDescent="0.25">
      <c r="A454" s="1" t="s">
        <v>62</v>
      </c>
    </row>
    <row r="455" spans="1:7" x14ac:dyDescent="0.25">
      <c r="A455" s="2" t="s">
        <v>2</v>
      </c>
      <c r="B455" s="2"/>
      <c r="C455" s="2" t="s">
        <v>3</v>
      </c>
      <c r="D455" s="2"/>
      <c r="E455" s="48"/>
      <c r="F455" s="48"/>
      <c r="G455" s="48"/>
    </row>
    <row r="456" spans="1:7" x14ac:dyDescent="0.25">
      <c r="A456" s="2" t="s">
        <v>4</v>
      </c>
      <c r="B456" s="2"/>
      <c r="C456" s="2" t="s">
        <v>5</v>
      </c>
      <c r="D456" s="2" t="s">
        <v>6</v>
      </c>
      <c r="E456" s="2" t="s">
        <v>7</v>
      </c>
      <c r="F456" s="2" t="s">
        <v>8</v>
      </c>
      <c r="G456" s="2" t="s">
        <v>9</v>
      </c>
    </row>
    <row r="457" spans="1:7" x14ac:dyDescent="0.25">
      <c r="A457" s="4">
        <v>135</v>
      </c>
      <c r="B457" s="4" t="s">
        <v>20</v>
      </c>
      <c r="C457" s="4">
        <v>2026</v>
      </c>
      <c r="D457" s="4">
        <v>51101</v>
      </c>
      <c r="E457" s="8">
        <v>56618</v>
      </c>
      <c r="F457" s="8">
        <v>0</v>
      </c>
      <c r="G457" s="8">
        <f>E457-F457</f>
        <v>56618</v>
      </c>
    </row>
    <row r="458" spans="1:7" x14ac:dyDescent="0.25">
      <c r="A458" s="4">
        <v>135</v>
      </c>
      <c r="B458" s="4" t="s">
        <v>20</v>
      </c>
      <c r="C458" s="4">
        <v>2026</v>
      </c>
      <c r="D458" s="4">
        <v>52101</v>
      </c>
      <c r="E458" s="8">
        <v>9539</v>
      </c>
      <c r="F458" s="8">
        <v>0</v>
      </c>
      <c r="G458" s="8">
        <f t="shared" ref="G458:G476" si="13">E458-F458</f>
        <v>9539</v>
      </c>
    </row>
    <row r="459" spans="1:7" x14ac:dyDescent="0.25">
      <c r="A459" s="4">
        <v>135</v>
      </c>
      <c r="B459" s="4" t="s">
        <v>20</v>
      </c>
      <c r="C459" s="4">
        <v>2026</v>
      </c>
      <c r="D459" s="4">
        <v>52111</v>
      </c>
      <c r="E459" s="8">
        <f>136+86+392+821+420+24</f>
        <v>1879</v>
      </c>
      <c r="F459" s="8">
        <v>0</v>
      </c>
      <c r="G459" s="8">
        <f t="shared" si="13"/>
        <v>1879</v>
      </c>
    </row>
    <row r="460" spans="1:7" x14ac:dyDescent="0.25">
      <c r="A460" s="4">
        <v>135</v>
      </c>
      <c r="B460" s="4" t="s">
        <v>20</v>
      </c>
      <c r="C460" s="4">
        <v>2026</v>
      </c>
      <c r="D460" s="4">
        <v>52201</v>
      </c>
      <c r="E460" s="8">
        <v>3510</v>
      </c>
      <c r="F460" s="8">
        <v>0</v>
      </c>
      <c r="G460" s="8">
        <f t="shared" si="13"/>
        <v>3510</v>
      </c>
    </row>
    <row r="461" spans="1:7" x14ac:dyDescent="0.25">
      <c r="A461" s="4">
        <v>135</v>
      </c>
      <c r="B461" s="4" t="s">
        <v>20</v>
      </c>
      <c r="C461" s="4">
        <v>2027</v>
      </c>
      <c r="D461" s="4">
        <v>51101</v>
      </c>
      <c r="E461" s="8">
        <v>57179</v>
      </c>
      <c r="F461" s="8">
        <v>0</v>
      </c>
      <c r="G461" s="8">
        <f t="shared" si="13"/>
        <v>57179</v>
      </c>
    </row>
    <row r="462" spans="1:7" x14ac:dyDescent="0.25">
      <c r="A462" s="4">
        <v>135</v>
      </c>
      <c r="B462" s="4" t="s">
        <v>20</v>
      </c>
      <c r="C462" s="4">
        <v>2027</v>
      </c>
      <c r="D462" s="4">
        <v>52101</v>
      </c>
      <c r="E462" s="8">
        <f>E458+296</f>
        <v>9835</v>
      </c>
      <c r="F462" s="8">
        <v>0</v>
      </c>
      <c r="G462" s="8">
        <f t="shared" si="13"/>
        <v>9835</v>
      </c>
    </row>
    <row r="463" spans="1:7" x14ac:dyDescent="0.25">
      <c r="A463" s="4">
        <v>135</v>
      </c>
      <c r="B463" s="4" t="s">
        <v>20</v>
      </c>
      <c r="C463" s="4">
        <v>2027</v>
      </c>
      <c r="D463" s="4">
        <v>52111</v>
      </c>
      <c r="E463" s="8">
        <f>137+87+396+829+448</f>
        <v>1897</v>
      </c>
      <c r="F463" s="8">
        <v>0</v>
      </c>
      <c r="G463" s="8">
        <f t="shared" si="13"/>
        <v>1897</v>
      </c>
    </row>
    <row r="464" spans="1:7" x14ac:dyDescent="0.25">
      <c r="A464" s="4">
        <v>135</v>
      </c>
      <c r="B464" s="4" t="s">
        <v>20</v>
      </c>
      <c r="C464" s="4">
        <v>2027</v>
      </c>
      <c r="D464" s="4">
        <v>52201</v>
      </c>
      <c r="E464" s="8">
        <v>3545</v>
      </c>
      <c r="F464" s="8">
        <v>0</v>
      </c>
      <c r="G464" s="8">
        <f t="shared" si="13"/>
        <v>3545</v>
      </c>
    </row>
    <row r="465" spans="1:7" x14ac:dyDescent="0.25">
      <c r="A465" s="4">
        <v>135</v>
      </c>
      <c r="B465" s="4" t="s">
        <v>20</v>
      </c>
      <c r="C465" s="4">
        <v>2028</v>
      </c>
      <c r="D465" s="4">
        <v>51101</v>
      </c>
      <c r="E465" s="8">
        <v>57762</v>
      </c>
      <c r="F465" s="8">
        <v>0</v>
      </c>
      <c r="G465" s="8">
        <f t="shared" si="13"/>
        <v>57762</v>
      </c>
    </row>
    <row r="466" spans="1:7" x14ac:dyDescent="0.25">
      <c r="A466" s="4">
        <v>135</v>
      </c>
      <c r="B466" s="4" t="s">
        <v>20</v>
      </c>
      <c r="C466" s="4">
        <v>2028</v>
      </c>
      <c r="D466" s="4">
        <v>52101</v>
      </c>
      <c r="E466" s="8">
        <f>E458+601</f>
        <v>10140</v>
      </c>
      <c r="F466" s="8">
        <v>0</v>
      </c>
      <c r="G466" s="8">
        <f t="shared" si="13"/>
        <v>10140</v>
      </c>
    </row>
    <row r="467" spans="1:7" x14ac:dyDescent="0.25">
      <c r="A467" s="4">
        <v>135</v>
      </c>
      <c r="B467" s="4" t="s">
        <v>20</v>
      </c>
      <c r="C467" s="4">
        <v>2028</v>
      </c>
      <c r="D467" s="4">
        <v>52111</v>
      </c>
      <c r="E467" s="8">
        <f>137+88+400+838+428+24</f>
        <v>1915</v>
      </c>
      <c r="F467" s="8">
        <v>0</v>
      </c>
      <c r="G467" s="8">
        <f t="shared" si="13"/>
        <v>1915</v>
      </c>
    </row>
    <row r="468" spans="1:7" x14ac:dyDescent="0.25">
      <c r="A468" s="4">
        <v>135</v>
      </c>
      <c r="B468" s="4" t="s">
        <v>20</v>
      </c>
      <c r="C468" s="4">
        <v>2028</v>
      </c>
      <c r="D468" s="4">
        <v>52201</v>
      </c>
      <c r="E468" s="8">
        <v>3581</v>
      </c>
      <c r="F468" s="8">
        <v>0</v>
      </c>
      <c r="G468" s="8">
        <f t="shared" si="13"/>
        <v>3581</v>
      </c>
    </row>
    <row r="469" spans="1:7" x14ac:dyDescent="0.25">
      <c r="A469" s="4">
        <v>135</v>
      </c>
      <c r="B469" s="4" t="s">
        <v>20</v>
      </c>
      <c r="C469" s="4">
        <v>2029</v>
      </c>
      <c r="D469" s="4">
        <v>51101</v>
      </c>
      <c r="E469" s="8">
        <v>58323</v>
      </c>
      <c r="F469" s="8">
        <v>0</v>
      </c>
      <c r="G469" s="8">
        <f t="shared" si="13"/>
        <v>58323</v>
      </c>
    </row>
    <row r="470" spans="1:7" x14ac:dyDescent="0.25">
      <c r="A470" s="4">
        <v>135</v>
      </c>
      <c r="B470" s="4" t="s">
        <v>20</v>
      </c>
      <c r="C470" s="4">
        <v>2029</v>
      </c>
      <c r="D470" s="4">
        <v>52101</v>
      </c>
      <c r="E470" s="8">
        <f>E458+915</f>
        <v>10454</v>
      </c>
      <c r="F470" s="8">
        <v>0</v>
      </c>
      <c r="G470" s="8">
        <f t="shared" si="13"/>
        <v>10454</v>
      </c>
    </row>
    <row r="471" spans="1:7" x14ac:dyDescent="0.25">
      <c r="A471" s="4">
        <v>135</v>
      </c>
      <c r="B471" s="4" t="s">
        <v>20</v>
      </c>
      <c r="C471" s="4">
        <v>2029</v>
      </c>
      <c r="D471" s="4">
        <v>52111</v>
      </c>
      <c r="E471" s="8">
        <f>137+89+4040+486+456</f>
        <v>5208</v>
      </c>
      <c r="F471" s="8">
        <v>0</v>
      </c>
      <c r="G471" s="8">
        <f t="shared" si="13"/>
        <v>5208</v>
      </c>
    </row>
    <row r="472" spans="1:7" x14ac:dyDescent="0.25">
      <c r="A472" s="4">
        <v>135</v>
      </c>
      <c r="B472" s="4" t="s">
        <v>20</v>
      </c>
      <c r="C472" s="4">
        <v>2029</v>
      </c>
      <c r="D472" s="4">
        <v>52201</v>
      </c>
      <c r="E472" s="8">
        <v>3616</v>
      </c>
      <c r="F472" s="8">
        <v>0</v>
      </c>
      <c r="G472" s="8">
        <f t="shared" si="13"/>
        <v>3616</v>
      </c>
    </row>
    <row r="473" spans="1:7" x14ac:dyDescent="0.25">
      <c r="A473" s="4">
        <v>135</v>
      </c>
      <c r="B473" s="4" t="s">
        <v>20</v>
      </c>
      <c r="C473" s="4">
        <v>2030</v>
      </c>
      <c r="D473" s="4">
        <v>51101</v>
      </c>
      <c r="E473" s="8">
        <v>58926</v>
      </c>
      <c r="F473" s="8">
        <v>0</v>
      </c>
      <c r="G473" s="8">
        <f t="shared" si="13"/>
        <v>58926</v>
      </c>
    </row>
    <row r="474" spans="1:7" x14ac:dyDescent="0.25">
      <c r="A474" s="4">
        <v>135</v>
      </c>
      <c r="B474" s="4" t="s">
        <v>20</v>
      </c>
      <c r="C474" s="4">
        <v>2030</v>
      </c>
      <c r="D474" s="4">
        <v>52101</v>
      </c>
      <c r="E474" s="8">
        <f>E458+1239</f>
        <v>10778</v>
      </c>
      <c r="F474" s="8">
        <v>0</v>
      </c>
      <c r="G474" s="8">
        <f t="shared" si="13"/>
        <v>10778</v>
      </c>
    </row>
    <row r="475" spans="1:7" x14ac:dyDescent="0.25">
      <c r="A475" s="4">
        <v>135</v>
      </c>
      <c r="B475" s="4" t="s">
        <v>20</v>
      </c>
      <c r="C475" s="4">
        <v>2030</v>
      </c>
      <c r="D475" s="4">
        <v>52111</v>
      </c>
      <c r="E475" s="8">
        <f>137+498+854+437+24</f>
        <v>1950</v>
      </c>
      <c r="F475" s="8">
        <v>0</v>
      </c>
      <c r="G475" s="8">
        <f t="shared" si="13"/>
        <v>1950</v>
      </c>
    </row>
    <row r="476" spans="1:7" x14ac:dyDescent="0.25">
      <c r="A476" s="4">
        <v>135</v>
      </c>
      <c r="B476" s="4" t="s">
        <v>20</v>
      </c>
      <c r="C476" s="4">
        <v>2030</v>
      </c>
      <c r="D476" s="4">
        <v>52201</v>
      </c>
      <c r="E476" s="8">
        <v>3653</v>
      </c>
      <c r="F476" s="8">
        <v>0</v>
      </c>
      <c r="G476" s="8">
        <f t="shared" si="13"/>
        <v>3653</v>
      </c>
    </row>
    <row r="477" spans="1:7" x14ac:dyDescent="0.25">
      <c r="E477" s="49" t="s">
        <v>13</v>
      </c>
      <c r="F477" s="49"/>
      <c r="G477" s="9">
        <f>SUM(G457:G476)</f>
        <v>370308</v>
      </c>
    </row>
    <row r="479" spans="1:7" x14ac:dyDescent="0.25">
      <c r="A479" s="1" t="s">
        <v>63</v>
      </c>
    </row>
    <row r="480" spans="1:7" x14ac:dyDescent="0.25">
      <c r="A480" s="2" t="s">
        <v>2</v>
      </c>
      <c r="B480" s="2"/>
      <c r="C480" s="2" t="s">
        <v>3</v>
      </c>
      <c r="D480" s="2"/>
      <c r="E480" s="48"/>
      <c r="F480" s="48"/>
      <c r="G480" s="48"/>
    </row>
    <row r="481" spans="1:7" x14ac:dyDescent="0.25">
      <c r="A481" s="2" t="s">
        <v>4</v>
      </c>
      <c r="B481" s="2"/>
      <c r="C481" s="2" t="s">
        <v>5</v>
      </c>
      <c r="D481" s="2" t="s">
        <v>6</v>
      </c>
      <c r="E481" s="2" t="s">
        <v>7</v>
      </c>
      <c r="F481" s="2" t="s">
        <v>8</v>
      </c>
      <c r="G481" s="2" t="s">
        <v>9</v>
      </c>
    </row>
    <row r="482" spans="1:7" x14ac:dyDescent="0.25">
      <c r="A482" s="4">
        <v>135</v>
      </c>
      <c r="B482" s="4" t="s">
        <v>20</v>
      </c>
      <c r="C482" s="4">
        <v>2026</v>
      </c>
      <c r="D482" s="4">
        <v>51101</v>
      </c>
      <c r="E482" s="8">
        <f>56618+50835+50835</f>
        <v>158288</v>
      </c>
      <c r="F482" s="8">
        <f>61922*3</f>
        <v>185766</v>
      </c>
      <c r="G482" s="8">
        <f>E482-F482</f>
        <v>-27478</v>
      </c>
    </row>
    <row r="483" spans="1:7" x14ac:dyDescent="0.25">
      <c r="A483" s="4">
        <v>135</v>
      </c>
      <c r="B483" s="4" t="s">
        <v>20</v>
      </c>
      <c r="C483" s="4">
        <v>2026</v>
      </c>
      <c r="D483" s="4">
        <v>52111</v>
      </c>
      <c r="E483" s="8">
        <f>270+86+392+821+420+18+116+77+352+737+377+24+18+116+77+352+737+377+24</f>
        <v>5391</v>
      </c>
      <c r="F483" s="8">
        <f>22+250+94+429+898+459+22+22+116+116+94+94+429+429+898+898+459+459+24+24</f>
        <v>6236</v>
      </c>
      <c r="G483" s="8">
        <f t="shared" ref="G483:G496" si="14">E483-F483</f>
        <v>-845</v>
      </c>
    </row>
    <row r="484" spans="1:7" x14ac:dyDescent="0.25">
      <c r="A484" s="4">
        <v>135</v>
      </c>
      <c r="B484" s="4" t="s">
        <v>20</v>
      </c>
      <c r="C484" s="4">
        <v>2026</v>
      </c>
      <c r="D484" s="4">
        <v>52201</v>
      </c>
      <c r="E484" s="8">
        <f>3510+3152*2</f>
        <v>9814</v>
      </c>
      <c r="F484" s="8">
        <f>3839*3</f>
        <v>11517</v>
      </c>
      <c r="G484" s="8">
        <f t="shared" si="14"/>
        <v>-1703</v>
      </c>
    </row>
    <row r="485" spans="1:7" x14ac:dyDescent="0.25">
      <c r="A485" s="4">
        <v>135</v>
      </c>
      <c r="B485" s="4" t="s">
        <v>20</v>
      </c>
      <c r="C485" s="4">
        <v>2027</v>
      </c>
      <c r="D485" s="4">
        <v>51101</v>
      </c>
      <c r="E485" s="8">
        <f>51334+51334+57179</f>
        <v>159847</v>
      </c>
      <c r="F485" s="8">
        <f>62546*3</f>
        <v>187638</v>
      </c>
      <c r="G485" s="8">
        <f t="shared" si="14"/>
        <v>-27791</v>
      </c>
    </row>
    <row r="486" spans="1:7" x14ac:dyDescent="0.25">
      <c r="A486" s="4">
        <v>135</v>
      </c>
      <c r="B486" s="4" t="s">
        <v>20</v>
      </c>
      <c r="C486" s="4">
        <v>2027</v>
      </c>
      <c r="D486" s="4">
        <v>52111</v>
      </c>
      <c r="E486" s="8">
        <f>271+87+396+829+424+18+116+78+356+744+380+24+18+116+78+744+380+24</f>
        <v>5083</v>
      </c>
      <c r="F486" s="8">
        <f>273+95+433+907+463+46+116+116+95+95+433+433+907+907+463+463+48</f>
        <v>6293</v>
      </c>
      <c r="G486" s="8">
        <f t="shared" si="14"/>
        <v>-1210</v>
      </c>
    </row>
    <row r="487" spans="1:7" x14ac:dyDescent="0.25">
      <c r="A487" s="4">
        <v>135</v>
      </c>
      <c r="B487" s="4" t="s">
        <v>20</v>
      </c>
      <c r="C487" s="4">
        <v>2027</v>
      </c>
      <c r="D487" s="4">
        <v>52201</v>
      </c>
      <c r="E487" s="8">
        <f>3183*2+3545</f>
        <v>9911</v>
      </c>
      <c r="F487" s="8">
        <f>3878*3</f>
        <v>11634</v>
      </c>
      <c r="G487" s="8">
        <f t="shared" si="14"/>
        <v>-1723</v>
      </c>
    </row>
    <row r="488" spans="1:7" x14ac:dyDescent="0.25">
      <c r="A488" s="4">
        <v>135</v>
      </c>
      <c r="B488" s="4" t="s">
        <v>20</v>
      </c>
      <c r="C488" s="4">
        <v>2028</v>
      </c>
      <c r="D488" s="4">
        <v>51101</v>
      </c>
      <c r="E488" s="8">
        <f>57762+51854*2</f>
        <v>161470</v>
      </c>
      <c r="F488" s="8">
        <f>63170*3</f>
        <v>189510</v>
      </c>
      <c r="G488" s="8">
        <f t="shared" si="14"/>
        <v>-28040</v>
      </c>
    </row>
    <row r="489" spans="1:7" x14ac:dyDescent="0.25">
      <c r="A489" s="4">
        <v>135</v>
      </c>
      <c r="B489" s="4" t="s">
        <v>20</v>
      </c>
      <c r="C489" s="4">
        <v>2028</v>
      </c>
      <c r="D489" s="4">
        <v>52111</v>
      </c>
      <c r="E489" s="8">
        <f>271+488+838+428+19+19+116+116+79+79+359+359+752+752+384+384+24+24</f>
        <v>5491</v>
      </c>
      <c r="F489" s="8">
        <f>273+438+916+468+46+116+116+96+96+438+438+916+916+468+468+48</f>
        <v>6257</v>
      </c>
      <c r="G489" s="8">
        <f t="shared" si="14"/>
        <v>-766</v>
      </c>
    </row>
    <row r="490" spans="1:7" x14ac:dyDescent="0.25">
      <c r="A490" s="4">
        <v>135</v>
      </c>
      <c r="B490" s="4" t="s">
        <v>20</v>
      </c>
      <c r="C490" s="4">
        <v>2028</v>
      </c>
      <c r="D490" s="4">
        <v>52201</v>
      </c>
      <c r="E490" s="8">
        <f>3581+3215*2</f>
        <v>10011</v>
      </c>
      <c r="F490" s="8">
        <f>3917*3</f>
        <v>11751</v>
      </c>
      <c r="G490" s="8">
        <f t="shared" si="14"/>
        <v>-1740</v>
      </c>
    </row>
    <row r="491" spans="1:7" x14ac:dyDescent="0.25">
      <c r="A491" s="4">
        <v>135</v>
      </c>
      <c r="B491" s="4" t="s">
        <v>20</v>
      </c>
      <c r="C491" s="4">
        <v>2029</v>
      </c>
      <c r="D491" s="4">
        <v>51101</v>
      </c>
      <c r="E491" s="8">
        <f>52374*2+58323</f>
        <v>163071</v>
      </c>
      <c r="F491" s="8">
        <f>63794*3</f>
        <v>191382</v>
      </c>
      <c r="G491" s="8">
        <f t="shared" si="14"/>
        <v>-28311</v>
      </c>
    </row>
    <row r="492" spans="1:7" x14ac:dyDescent="0.25">
      <c r="A492" s="4">
        <v>135</v>
      </c>
      <c r="B492" s="4" t="s">
        <v>20</v>
      </c>
      <c r="C492" s="4">
        <v>2029</v>
      </c>
      <c r="D492" s="4">
        <v>52111</v>
      </c>
      <c r="E492" s="8">
        <f>271+89+404+846+432+19+19+116+116+80+80+363+363+759+759+388+388+24+24</f>
        <v>5540</v>
      </c>
      <c r="F492" s="8">
        <f>273+97+442+925+473+46+116+116+97+97+442+442+925+925+473+473+48</f>
        <v>6410</v>
      </c>
      <c r="G492" s="8">
        <f t="shared" si="14"/>
        <v>-870</v>
      </c>
    </row>
    <row r="493" spans="1:7" x14ac:dyDescent="0.25">
      <c r="A493" s="4">
        <v>135</v>
      </c>
      <c r="B493" s="4" t="s">
        <v>20</v>
      </c>
      <c r="C493" s="4">
        <v>2029</v>
      </c>
      <c r="D493" s="4">
        <v>52201</v>
      </c>
      <c r="E493" s="8">
        <f>3616+3247*2</f>
        <v>10110</v>
      </c>
      <c r="F493" s="8">
        <f>3955*3</f>
        <v>11865</v>
      </c>
      <c r="G493" s="8">
        <f t="shared" si="14"/>
        <v>-1755</v>
      </c>
    </row>
    <row r="494" spans="1:7" x14ac:dyDescent="0.25">
      <c r="A494" s="4">
        <v>135</v>
      </c>
      <c r="B494" s="4" t="s">
        <v>20</v>
      </c>
      <c r="C494" s="4">
        <v>2030</v>
      </c>
      <c r="D494" s="4">
        <v>51101</v>
      </c>
      <c r="E494" s="8">
        <f>58926+52895*2</f>
        <v>164716</v>
      </c>
      <c r="F494" s="8">
        <f>64438*3</f>
        <v>193314</v>
      </c>
      <c r="G494" s="8">
        <f t="shared" si="14"/>
        <v>-28598</v>
      </c>
    </row>
    <row r="495" spans="1:7" x14ac:dyDescent="0.25">
      <c r="A495" s="4">
        <v>135</v>
      </c>
      <c r="B495" s="4" t="s">
        <v>20</v>
      </c>
      <c r="C495" s="4">
        <v>2030</v>
      </c>
      <c r="D495" s="4">
        <v>52111</v>
      </c>
      <c r="E495" s="8">
        <f>271+90+408+854+437+19+19+116+116+81+81+367+367+767+767+392+24+24</f>
        <v>5200</v>
      </c>
      <c r="F495" s="8">
        <f>273+98+447+934+477+43+116+116+98+98+447+447+934+934+477+477+48</f>
        <v>6464</v>
      </c>
      <c r="G495" s="8">
        <f t="shared" si="14"/>
        <v>-1264</v>
      </c>
    </row>
    <row r="496" spans="1:7" x14ac:dyDescent="0.25">
      <c r="A496" s="4">
        <v>135</v>
      </c>
      <c r="B496" s="4" t="s">
        <v>20</v>
      </c>
      <c r="C496" s="4">
        <v>2030</v>
      </c>
      <c r="D496" s="4">
        <v>52201</v>
      </c>
      <c r="E496" s="8">
        <f>3653+3279*2</f>
        <v>10211</v>
      </c>
      <c r="F496" s="8">
        <f>3995*3</f>
        <v>11985</v>
      </c>
      <c r="G496" s="8">
        <f t="shared" si="14"/>
        <v>-1774</v>
      </c>
    </row>
    <row r="497" spans="1:7" x14ac:dyDescent="0.25">
      <c r="E497" s="49" t="s">
        <v>13</v>
      </c>
      <c r="F497" s="49"/>
      <c r="G497" s="9">
        <f>SUM(G482:G496)</f>
        <v>-153868</v>
      </c>
    </row>
    <row r="499" spans="1:7" x14ac:dyDescent="0.25">
      <c r="A499" s="1" t="s">
        <v>64</v>
      </c>
    </row>
    <row r="500" spans="1:7" x14ac:dyDescent="0.25">
      <c r="A500" s="2" t="s">
        <v>2</v>
      </c>
      <c r="B500" s="2"/>
      <c r="C500" s="2" t="s">
        <v>3</v>
      </c>
      <c r="D500" s="2"/>
      <c r="E500" s="48"/>
      <c r="F500" s="48"/>
      <c r="G500" s="48"/>
    </row>
    <row r="501" spans="1:7" x14ac:dyDescent="0.25">
      <c r="A501" s="2" t="s">
        <v>4</v>
      </c>
      <c r="B501" s="2"/>
      <c r="C501" s="2" t="s">
        <v>5</v>
      </c>
      <c r="D501" s="2" t="s">
        <v>6</v>
      </c>
      <c r="E501" s="2" t="s">
        <v>7</v>
      </c>
      <c r="F501" s="2" t="s">
        <v>8</v>
      </c>
      <c r="G501" s="2" t="s">
        <v>9</v>
      </c>
    </row>
    <row r="502" spans="1:7" x14ac:dyDescent="0.25">
      <c r="A502" s="4">
        <v>86</v>
      </c>
      <c r="B502" s="4" t="s">
        <v>65</v>
      </c>
      <c r="C502" s="4">
        <v>2026</v>
      </c>
      <c r="D502" s="4">
        <v>51101</v>
      </c>
      <c r="E502" s="8">
        <v>47250</v>
      </c>
      <c r="F502" s="8">
        <v>0</v>
      </c>
      <c r="G502" s="8">
        <f t="shared" ref="G502:G521" si="15">E502-F502</f>
        <v>47250</v>
      </c>
    </row>
    <row r="503" spans="1:7" x14ac:dyDescent="0.25">
      <c r="A503" s="4">
        <v>86</v>
      </c>
      <c r="B503" s="4" t="s">
        <v>65</v>
      </c>
      <c r="C503" s="4">
        <v>2026</v>
      </c>
      <c r="D503" s="4">
        <v>52101</v>
      </c>
      <c r="E503" s="8">
        <v>9539</v>
      </c>
      <c r="F503" s="8">
        <v>0</v>
      </c>
      <c r="G503" s="8">
        <f t="shared" si="15"/>
        <v>9539</v>
      </c>
    </row>
    <row r="504" spans="1:7" x14ac:dyDescent="0.25">
      <c r="A504" s="4">
        <v>86</v>
      </c>
      <c r="B504" s="4" t="s">
        <v>65</v>
      </c>
      <c r="C504" s="4">
        <v>2026</v>
      </c>
      <c r="D504" s="4">
        <v>52111</v>
      </c>
      <c r="E504" s="8">
        <f>34+116+144+327+685+350+24</f>
        <v>1680</v>
      </c>
      <c r="F504" s="8">
        <v>0</v>
      </c>
      <c r="G504" s="8">
        <f t="shared" si="15"/>
        <v>1680</v>
      </c>
    </row>
    <row r="505" spans="1:7" x14ac:dyDescent="0.25">
      <c r="A505" s="4">
        <v>86</v>
      </c>
      <c r="B505" s="4" t="s">
        <v>65</v>
      </c>
      <c r="C505" s="4">
        <v>2026</v>
      </c>
      <c r="D505" s="4">
        <v>52201</v>
      </c>
      <c r="E505" s="8">
        <v>2929</v>
      </c>
      <c r="F505" s="8">
        <v>0</v>
      </c>
      <c r="G505" s="8">
        <f t="shared" si="15"/>
        <v>2929</v>
      </c>
    </row>
    <row r="506" spans="1:7" x14ac:dyDescent="0.25">
      <c r="A506" s="4">
        <v>86</v>
      </c>
      <c r="B506" s="4" t="s">
        <v>65</v>
      </c>
      <c r="C506" s="4">
        <v>2027</v>
      </c>
      <c r="D506" s="4">
        <v>51101</v>
      </c>
      <c r="E506" s="8">
        <v>48460</v>
      </c>
      <c r="F506" s="8">
        <v>0</v>
      </c>
      <c r="G506" s="8">
        <f t="shared" si="15"/>
        <v>48460</v>
      </c>
    </row>
    <row r="507" spans="1:7" x14ac:dyDescent="0.25">
      <c r="A507" s="4">
        <v>86</v>
      </c>
      <c r="B507" s="4" t="s">
        <v>65</v>
      </c>
      <c r="C507" s="4">
        <v>2027</v>
      </c>
      <c r="D507" s="4">
        <v>52101</v>
      </c>
      <c r="E507" s="8">
        <f>9539+296</f>
        <v>9835</v>
      </c>
      <c r="F507" s="8">
        <v>0</v>
      </c>
      <c r="G507" s="8">
        <f t="shared" si="15"/>
        <v>9835</v>
      </c>
    </row>
    <row r="508" spans="1:7" x14ac:dyDescent="0.25">
      <c r="A508" s="4">
        <v>86</v>
      </c>
      <c r="B508" s="4" t="s">
        <v>65</v>
      </c>
      <c r="C508" s="4">
        <v>2027</v>
      </c>
      <c r="D508" s="4">
        <v>52111</v>
      </c>
      <c r="E508" s="8">
        <f>35+116+148+336+703+359+24</f>
        <v>1721</v>
      </c>
      <c r="F508" s="8">
        <v>0</v>
      </c>
      <c r="G508" s="8">
        <f t="shared" si="15"/>
        <v>1721</v>
      </c>
    </row>
    <row r="509" spans="1:7" x14ac:dyDescent="0.25">
      <c r="A509" s="4">
        <v>86</v>
      </c>
      <c r="B509" s="4" t="s">
        <v>65</v>
      </c>
      <c r="C509" s="4">
        <v>2027</v>
      </c>
      <c r="D509" s="4">
        <v>52201</v>
      </c>
      <c r="E509" s="8">
        <v>3004</v>
      </c>
      <c r="F509" s="8">
        <v>0</v>
      </c>
      <c r="G509" s="8">
        <f t="shared" si="15"/>
        <v>3004</v>
      </c>
    </row>
    <row r="510" spans="1:7" x14ac:dyDescent="0.25">
      <c r="A510" s="4">
        <v>86</v>
      </c>
      <c r="B510" s="4" t="s">
        <v>65</v>
      </c>
      <c r="C510" s="4">
        <v>2028</v>
      </c>
      <c r="D510" s="4">
        <v>51101</v>
      </c>
      <c r="E510" s="8">
        <v>48534</v>
      </c>
      <c r="F510" s="8">
        <v>0</v>
      </c>
      <c r="G510" s="8">
        <f t="shared" si="15"/>
        <v>48534</v>
      </c>
    </row>
    <row r="511" spans="1:7" x14ac:dyDescent="0.25">
      <c r="A511" s="4">
        <v>86</v>
      </c>
      <c r="B511" s="4" t="s">
        <v>65</v>
      </c>
      <c r="C511" s="4">
        <v>2028</v>
      </c>
      <c r="D511" s="4">
        <v>52101</v>
      </c>
      <c r="E511" s="8">
        <f>9539+601</f>
        <v>10140</v>
      </c>
      <c r="F511" s="8">
        <v>0</v>
      </c>
      <c r="G511" s="8">
        <f t="shared" si="15"/>
        <v>10140</v>
      </c>
    </row>
    <row r="512" spans="1:7" x14ac:dyDescent="0.25">
      <c r="A512" s="4">
        <v>86</v>
      </c>
      <c r="B512" s="4" t="s">
        <v>65</v>
      </c>
      <c r="C512" s="4">
        <v>2028</v>
      </c>
      <c r="D512" s="4">
        <v>52111</v>
      </c>
      <c r="E512" s="8">
        <f>35+116+148+336+704+360+24</f>
        <v>1723</v>
      </c>
      <c r="F512" s="8">
        <v>0</v>
      </c>
      <c r="G512" s="8">
        <f t="shared" si="15"/>
        <v>1723</v>
      </c>
    </row>
    <row r="513" spans="1:7" x14ac:dyDescent="0.25">
      <c r="A513" s="4">
        <v>86</v>
      </c>
      <c r="B513" s="4" t="s">
        <v>65</v>
      </c>
      <c r="C513" s="4">
        <v>2028</v>
      </c>
      <c r="D513" s="4">
        <v>52201</v>
      </c>
      <c r="E513" s="8">
        <v>3009</v>
      </c>
      <c r="F513" s="8">
        <v>0</v>
      </c>
      <c r="G513" s="8">
        <f t="shared" si="15"/>
        <v>3009</v>
      </c>
    </row>
    <row r="514" spans="1:7" x14ac:dyDescent="0.25">
      <c r="A514" s="4">
        <v>86</v>
      </c>
      <c r="B514" s="4" t="s">
        <v>65</v>
      </c>
      <c r="C514" s="4">
        <v>2029</v>
      </c>
      <c r="D514" s="4">
        <v>51101</v>
      </c>
      <c r="E514" s="8">
        <v>52133</v>
      </c>
      <c r="F514" s="8">
        <v>0</v>
      </c>
      <c r="G514" s="8">
        <f t="shared" si="15"/>
        <v>52133</v>
      </c>
    </row>
    <row r="515" spans="1:7" x14ac:dyDescent="0.25">
      <c r="A515" s="4">
        <v>86</v>
      </c>
      <c r="B515" s="4" t="s">
        <v>65</v>
      </c>
      <c r="C515" s="4">
        <v>2029</v>
      </c>
      <c r="D515" s="4">
        <v>52101</v>
      </c>
      <c r="E515" s="8">
        <f>9539+915</f>
        <v>10454</v>
      </c>
      <c r="F515" s="8">
        <v>0</v>
      </c>
      <c r="G515" s="8">
        <f t="shared" si="15"/>
        <v>10454</v>
      </c>
    </row>
    <row r="516" spans="1:7" x14ac:dyDescent="0.25">
      <c r="A516" s="4">
        <v>86</v>
      </c>
      <c r="B516" s="4" t="s">
        <v>65</v>
      </c>
      <c r="C516" s="4">
        <v>2029</v>
      </c>
      <c r="D516" s="4">
        <v>52111</v>
      </c>
      <c r="E516" s="8">
        <f>38+116+159+361+756+386+24</f>
        <v>1840</v>
      </c>
      <c r="F516" s="8">
        <v>0</v>
      </c>
      <c r="G516" s="8">
        <f t="shared" si="15"/>
        <v>1840</v>
      </c>
    </row>
    <row r="517" spans="1:7" x14ac:dyDescent="0.25">
      <c r="A517" s="4">
        <v>86</v>
      </c>
      <c r="B517" s="4" t="s">
        <v>65</v>
      </c>
      <c r="C517" s="4">
        <v>2029</v>
      </c>
      <c r="D517" s="4">
        <v>52201</v>
      </c>
      <c r="E517" s="8">
        <v>3232</v>
      </c>
      <c r="F517" s="8">
        <v>0</v>
      </c>
      <c r="G517" s="8">
        <f t="shared" si="15"/>
        <v>3232</v>
      </c>
    </row>
    <row r="518" spans="1:7" x14ac:dyDescent="0.25">
      <c r="A518" s="4">
        <v>86</v>
      </c>
      <c r="B518" s="4" t="s">
        <v>65</v>
      </c>
      <c r="C518" s="4">
        <v>2030</v>
      </c>
      <c r="D518" s="4">
        <v>51101</v>
      </c>
      <c r="E518" s="8">
        <v>53705</v>
      </c>
      <c r="F518" s="8">
        <v>0</v>
      </c>
      <c r="G518" s="8">
        <f t="shared" si="15"/>
        <v>53705</v>
      </c>
    </row>
    <row r="519" spans="1:7" x14ac:dyDescent="0.25">
      <c r="A519" s="4">
        <v>86</v>
      </c>
      <c r="B519" s="4" t="s">
        <v>65</v>
      </c>
      <c r="C519" s="4">
        <v>2030</v>
      </c>
      <c r="D519" s="4">
        <v>52101</v>
      </c>
      <c r="E519" s="8">
        <f>9539+1239</f>
        <v>10778</v>
      </c>
      <c r="F519" s="8">
        <v>0</v>
      </c>
      <c r="G519" s="8">
        <f t="shared" si="15"/>
        <v>10778</v>
      </c>
    </row>
    <row r="520" spans="1:7" x14ac:dyDescent="0.25">
      <c r="A520" s="4">
        <v>86</v>
      </c>
      <c r="B520" s="4" t="s">
        <v>65</v>
      </c>
      <c r="C520" s="4">
        <v>2030</v>
      </c>
      <c r="D520" s="4">
        <v>52111</v>
      </c>
      <c r="E520" s="8">
        <f>39+116+164+372+779+398+24</f>
        <v>1892</v>
      </c>
      <c r="F520" s="8">
        <v>0</v>
      </c>
      <c r="G520" s="8">
        <f t="shared" si="15"/>
        <v>1892</v>
      </c>
    </row>
    <row r="521" spans="1:7" x14ac:dyDescent="0.25">
      <c r="A521" s="4">
        <v>86</v>
      </c>
      <c r="B521" s="4" t="s">
        <v>65</v>
      </c>
      <c r="C521" s="4">
        <v>2030</v>
      </c>
      <c r="D521" s="4">
        <v>52201</v>
      </c>
      <c r="E521" s="8">
        <v>3330</v>
      </c>
      <c r="F521" s="8">
        <v>0</v>
      </c>
      <c r="G521" s="8">
        <f t="shared" si="15"/>
        <v>3330</v>
      </c>
    </row>
    <row r="522" spans="1:7" x14ac:dyDescent="0.25">
      <c r="E522" s="49" t="s">
        <v>13</v>
      </c>
      <c r="F522" s="49"/>
      <c r="G522" s="9">
        <f>SUM(G502:G521)</f>
        <v>325188</v>
      </c>
    </row>
    <row r="524" spans="1:7" x14ac:dyDescent="0.25">
      <c r="A524" s="1" t="s">
        <v>66</v>
      </c>
    </row>
    <row r="525" spans="1:7" x14ac:dyDescent="0.25">
      <c r="A525" s="2" t="s">
        <v>2</v>
      </c>
      <c r="B525" s="2"/>
      <c r="C525" s="2" t="s">
        <v>3</v>
      </c>
      <c r="D525" s="2"/>
      <c r="E525" s="48"/>
      <c r="F525" s="48"/>
      <c r="G525" s="48"/>
    </row>
    <row r="526" spans="1:7" x14ac:dyDescent="0.25">
      <c r="A526" s="2" t="s">
        <v>4</v>
      </c>
      <c r="B526" s="2"/>
      <c r="C526" s="2" t="s">
        <v>5</v>
      </c>
      <c r="D526" s="2" t="s">
        <v>6</v>
      </c>
      <c r="E526" s="2" t="s">
        <v>7</v>
      </c>
      <c r="F526" s="2" t="s">
        <v>8</v>
      </c>
      <c r="G526" s="2" t="s">
        <v>9</v>
      </c>
    </row>
    <row r="527" spans="1:7" x14ac:dyDescent="0.25">
      <c r="A527" s="4">
        <v>85</v>
      </c>
      <c r="B527" s="4" t="s">
        <v>65</v>
      </c>
      <c r="C527" s="4">
        <v>2026</v>
      </c>
      <c r="D527" s="4">
        <v>51101</v>
      </c>
      <c r="E527" s="8">
        <v>79352</v>
      </c>
      <c r="F527" s="8">
        <v>0</v>
      </c>
      <c r="G527" s="8">
        <f t="shared" ref="G527:G546" si="16">E527-F527</f>
        <v>79352</v>
      </c>
    </row>
    <row r="528" spans="1:7" x14ac:dyDescent="0.25">
      <c r="A528" s="4">
        <v>85</v>
      </c>
      <c r="B528" s="4" t="s">
        <v>65</v>
      </c>
      <c r="C528" s="4">
        <v>2026</v>
      </c>
      <c r="D528" s="4">
        <v>52101</v>
      </c>
      <c r="E528" s="8">
        <v>9539</v>
      </c>
      <c r="F528" s="8">
        <v>0</v>
      </c>
      <c r="G528" s="8">
        <f t="shared" si="16"/>
        <v>9539</v>
      </c>
    </row>
    <row r="529" spans="1:7" x14ac:dyDescent="0.25">
      <c r="A529" s="4">
        <v>85</v>
      </c>
      <c r="B529" s="4" t="s">
        <v>65</v>
      </c>
      <c r="C529" s="4">
        <v>2026</v>
      </c>
      <c r="D529" s="4">
        <v>52111</v>
      </c>
      <c r="E529" s="8">
        <f>29+116+121+550+588+24+1151</f>
        <v>2579</v>
      </c>
      <c r="F529" s="8">
        <v>0</v>
      </c>
      <c r="G529" s="8">
        <f t="shared" si="16"/>
        <v>2579</v>
      </c>
    </row>
    <row r="530" spans="1:7" x14ac:dyDescent="0.25">
      <c r="A530" s="4">
        <v>85</v>
      </c>
      <c r="B530" s="4" t="s">
        <v>65</v>
      </c>
      <c r="C530" s="4">
        <v>2026</v>
      </c>
      <c r="D530" s="4">
        <v>52201</v>
      </c>
      <c r="E530" s="8">
        <v>4920</v>
      </c>
      <c r="F530" s="8">
        <v>0</v>
      </c>
      <c r="G530" s="8">
        <f t="shared" si="16"/>
        <v>4920</v>
      </c>
    </row>
    <row r="531" spans="1:7" x14ac:dyDescent="0.25">
      <c r="A531" s="4">
        <v>85</v>
      </c>
      <c r="B531" s="4" t="s">
        <v>65</v>
      </c>
      <c r="C531" s="4">
        <v>2027</v>
      </c>
      <c r="D531" s="4">
        <v>51101</v>
      </c>
      <c r="E531" s="8">
        <v>80142</v>
      </c>
      <c r="F531" s="8">
        <v>0</v>
      </c>
      <c r="G531" s="8">
        <f t="shared" si="16"/>
        <v>80142</v>
      </c>
    </row>
    <row r="532" spans="1:7" x14ac:dyDescent="0.25">
      <c r="A532" s="4">
        <v>85</v>
      </c>
      <c r="B532" s="4" t="s">
        <v>65</v>
      </c>
      <c r="C532" s="4">
        <v>2027</v>
      </c>
      <c r="D532" s="4">
        <v>52101</v>
      </c>
      <c r="E532" s="8">
        <f>9539+296</f>
        <v>9835</v>
      </c>
      <c r="F532" s="8">
        <v>0</v>
      </c>
      <c r="G532" s="8">
        <f t="shared" si="16"/>
        <v>9835</v>
      </c>
    </row>
    <row r="533" spans="1:7" x14ac:dyDescent="0.25">
      <c r="A533" s="4">
        <v>85</v>
      </c>
      <c r="B533" s="4" t="s">
        <v>65</v>
      </c>
      <c r="C533" s="4">
        <v>2027</v>
      </c>
      <c r="D533" s="4">
        <v>52111</v>
      </c>
      <c r="E533" s="8">
        <f>29+116+122+555+1162+594+24</f>
        <v>2602</v>
      </c>
      <c r="F533" s="8">
        <v>0</v>
      </c>
      <c r="G533" s="8">
        <f t="shared" si="16"/>
        <v>2602</v>
      </c>
    </row>
    <row r="534" spans="1:7" x14ac:dyDescent="0.25">
      <c r="A534" s="4">
        <v>85</v>
      </c>
      <c r="B534" s="4" t="s">
        <v>65</v>
      </c>
      <c r="C534" s="4">
        <v>2027</v>
      </c>
      <c r="D534" s="4">
        <v>52201</v>
      </c>
      <c r="E534" s="8">
        <v>4969</v>
      </c>
      <c r="F534" s="8">
        <v>0</v>
      </c>
      <c r="G534" s="8">
        <f t="shared" si="16"/>
        <v>4969</v>
      </c>
    </row>
    <row r="535" spans="1:7" x14ac:dyDescent="0.25">
      <c r="A535" s="4">
        <v>85</v>
      </c>
      <c r="B535" s="4" t="s">
        <v>65</v>
      </c>
      <c r="C535" s="4">
        <v>2028</v>
      </c>
      <c r="D535" s="4">
        <v>51101</v>
      </c>
      <c r="E535" s="8">
        <v>80954</v>
      </c>
      <c r="F535" s="8">
        <v>0</v>
      </c>
      <c r="G535" s="8">
        <f t="shared" si="16"/>
        <v>80954</v>
      </c>
    </row>
    <row r="536" spans="1:7" x14ac:dyDescent="0.25">
      <c r="A536" s="4">
        <v>85</v>
      </c>
      <c r="B536" s="4" t="s">
        <v>65</v>
      </c>
      <c r="C536" s="4">
        <v>2028</v>
      </c>
      <c r="D536" s="4">
        <v>52101</v>
      </c>
      <c r="E536" s="8">
        <f>9539+601</f>
        <v>10140</v>
      </c>
      <c r="F536" s="8">
        <v>0</v>
      </c>
      <c r="G536" s="8">
        <f t="shared" si="16"/>
        <v>10140</v>
      </c>
    </row>
    <row r="537" spans="1:7" x14ac:dyDescent="0.25">
      <c r="A537" s="4">
        <v>85</v>
      </c>
      <c r="B537" s="4" t="s">
        <v>65</v>
      </c>
      <c r="C537" s="4">
        <v>2028</v>
      </c>
      <c r="D537" s="4">
        <v>52111</v>
      </c>
      <c r="E537" s="8">
        <f>29+116+123+561+1174+600+24</f>
        <v>2627</v>
      </c>
      <c r="F537" s="8">
        <v>0</v>
      </c>
      <c r="G537" s="8">
        <f t="shared" si="16"/>
        <v>2627</v>
      </c>
    </row>
    <row r="538" spans="1:7" x14ac:dyDescent="0.25">
      <c r="A538" s="4">
        <v>85</v>
      </c>
      <c r="B538" s="4" t="s">
        <v>65</v>
      </c>
      <c r="C538" s="4">
        <v>2028</v>
      </c>
      <c r="D538" s="4">
        <v>52201</v>
      </c>
      <c r="E538" s="8">
        <v>5019</v>
      </c>
      <c r="F538" s="8">
        <v>0</v>
      </c>
      <c r="G538" s="8">
        <f t="shared" si="16"/>
        <v>5019</v>
      </c>
    </row>
    <row r="539" spans="1:7" x14ac:dyDescent="0.25">
      <c r="A539" s="4">
        <v>85</v>
      </c>
      <c r="B539" s="4" t="s">
        <v>65</v>
      </c>
      <c r="C539" s="4">
        <v>2029</v>
      </c>
      <c r="D539" s="4">
        <v>51101</v>
      </c>
      <c r="E539" s="8">
        <v>81765</v>
      </c>
      <c r="F539" s="8">
        <v>0</v>
      </c>
      <c r="G539" s="8">
        <f t="shared" si="16"/>
        <v>81765</v>
      </c>
    </row>
    <row r="540" spans="1:7" x14ac:dyDescent="0.25">
      <c r="A540" s="4">
        <v>85</v>
      </c>
      <c r="B540" s="4" t="s">
        <v>65</v>
      </c>
      <c r="C540" s="4">
        <v>2029</v>
      </c>
      <c r="D540" s="4">
        <v>52101</v>
      </c>
      <c r="E540" s="8">
        <f>9539+915</f>
        <v>10454</v>
      </c>
      <c r="F540" s="8">
        <v>0</v>
      </c>
      <c r="G540" s="8">
        <f t="shared" si="16"/>
        <v>10454</v>
      </c>
    </row>
    <row r="541" spans="1:7" x14ac:dyDescent="0.25">
      <c r="A541" s="4">
        <v>85</v>
      </c>
      <c r="B541" s="4" t="s">
        <v>65</v>
      </c>
      <c r="C541" s="4">
        <v>2029</v>
      </c>
      <c r="D541" s="4">
        <v>52111</v>
      </c>
      <c r="E541" s="8">
        <f>29+116+125+567+1186+606+24</f>
        <v>2653</v>
      </c>
      <c r="F541" s="8">
        <v>0</v>
      </c>
      <c r="G541" s="8">
        <f t="shared" si="16"/>
        <v>2653</v>
      </c>
    </row>
    <row r="542" spans="1:7" x14ac:dyDescent="0.25">
      <c r="A542" s="4">
        <v>85</v>
      </c>
      <c r="B542" s="4" t="s">
        <v>65</v>
      </c>
      <c r="C542" s="4">
        <v>2029</v>
      </c>
      <c r="D542" s="4">
        <v>52201</v>
      </c>
      <c r="E542" s="8">
        <v>5069</v>
      </c>
      <c r="F542" s="8">
        <v>0</v>
      </c>
      <c r="G542" s="8">
        <f t="shared" si="16"/>
        <v>5069</v>
      </c>
    </row>
    <row r="543" spans="1:7" x14ac:dyDescent="0.25">
      <c r="A543" s="4">
        <v>85</v>
      </c>
      <c r="B543" s="4" t="s">
        <v>65</v>
      </c>
      <c r="C543" s="4">
        <v>2030</v>
      </c>
      <c r="D543" s="4">
        <v>51101</v>
      </c>
      <c r="E543" s="8">
        <v>82576</v>
      </c>
      <c r="F543" s="8">
        <v>0</v>
      </c>
      <c r="G543" s="8">
        <f t="shared" si="16"/>
        <v>82576</v>
      </c>
    </row>
    <row r="544" spans="1:7" x14ac:dyDescent="0.25">
      <c r="A544" s="4">
        <v>85</v>
      </c>
      <c r="B544" s="4" t="s">
        <v>65</v>
      </c>
      <c r="C544" s="4">
        <v>2030</v>
      </c>
      <c r="D544" s="4">
        <v>52101</v>
      </c>
      <c r="E544" s="8">
        <f>9539+1239</f>
        <v>10778</v>
      </c>
      <c r="F544" s="8">
        <v>0</v>
      </c>
      <c r="G544" s="8">
        <f t="shared" si="16"/>
        <v>10778</v>
      </c>
    </row>
    <row r="545" spans="1:7" x14ac:dyDescent="0.25">
      <c r="A545" s="4">
        <v>85</v>
      </c>
      <c r="B545" s="4" t="s">
        <v>65</v>
      </c>
      <c r="C545" s="4">
        <v>2030</v>
      </c>
      <c r="D545" s="4">
        <v>52111</v>
      </c>
      <c r="E545" s="8">
        <f>30+116+126+572+1197+612+24</f>
        <v>2677</v>
      </c>
      <c r="F545" s="8">
        <v>0</v>
      </c>
      <c r="G545" s="8">
        <f t="shared" si="16"/>
        <v>2677</v>
      </c>
    </row>
    <row r="546" spans="1:7" x14ac:dyDescent="0.25">
      <c r="A546" s="4">
        <v>85</v>
      </c>
      <c r="B546" s="4" t="s">
        <v>65</v>
      </c>
      <c r="C546" s="4">
        <v>2030</v>
      </c>
      <c r="D546" s="4">
        <v>52201</v>
      </c>
      <c r="E546" s="8">
        <v>5120</v>
      </c>
      <c r="F546" s="8">
        <v>0</v>
      </c>
      <c r="G546" s="8">
        <f t="shared" si="16"/>
        <v>5120</v>
      </c>
    </row>
    <row r="547" spans="1:7" x14ac:dyDescent="0.25">
      <c r="E547" s="49" t="s">
        <v>13</v>
      </c>
      <c r="F547" s="49"/>
      <c r="G547" s="9">
        <f>SUM(G527:G546)</f>
        <v>493770</v>
      </c>
    </row>
    <row r="549" spans="1:7" x14ac:dyDescent="0.25">
      <c r="A549" s="1" t="s">
        <v>67</v>
      </c>
    </row>
    <row r="550" spans="1:7" x14ac:dyDescent="0.25">
      <c r="A550" s="2" t="s">
        <v>2</v>
      </c>
      <c r="B550" s="2"/>
      <c r="C550" s="2" t="s">
        <v>3</v>
      </c>
      <c r="D550" s="2"/>
      <c r="E550" s="48"/>
      <c r="F550" s="48"/>
      <c r="G550" s="48"/>
    </row>
    <row r="551" spans="1:7" x14ac:dyDescent="0.25">
      <c r="A551" s="2" t="s">
        <v>4</v>
      </c>
      <c r="B551" s="2"/>
      <c r="C551" s="2" t="s">
        <v>5</v>
      </c>
      <c r="D551" s="2" t="s">
        <v>6</v>
      </c>
      <c r="E551" s="2" t="s">
        <v>7</v>
      </c>
      <c r="F551" s="2" t="s">
        <v>8</v>
      </c>
      <c r="G551" s="2" t="s">
        <v>9</v>
      </c>
    </row>
    <row r="552" spans="1:7" x14ac:dyDescent="0.25">
      <c r="A552" s="4">
        <v>115</v>
      </c>
      <c r="B552" s="4" t="s">
        <v>23</v>
      </c>
      <c r="C552" s="4">
        <v>2026</v>
      </c>
      <c r="D552" s="4">
        <v>58105</v>
      </c>
      <c r="E552" s="8">
        <v>2080550</v>
      </c>
      <c r="F552" s="8">
        <v>9330550</v>
      </c>
      <c r="G552" s="8">
        <f>E552-F552</f>
        <v>-7250000</v>
      </c>
    </row>
    <row r="553" spans="1:7" x14ac:dyDescent="0.25">
      <c r="A553" s="4">
        <v>115</v>
      </c>
      <c r="B553" s="4" t="s">
        <v>23</v>
      </c>
      <c r="C553" s="4">
        <v>2027</v>
      </c>
      <c r="D553" s="4">
        <v>58105</v>
      </c>
      <c r="E553" s="8">
        <v>1030000</v>
      </c>
      <c r="F553" s="8">
        <v>6030000</v>
      </c>
      <c r="G553" s="8">
        <f>E553-F553</f>
        <v>-5000000</v>
      </c>
    </row>
    <row r="554" spans="1:7" x14ac:dyDescent="0.25">
      <c r="A554" s="4">
        <v>115</v>
      </c>
      <c r="B554" s="4" t="s">
        <v>23</v>
      </c>
      <c r="C554" s="4">
        <v>2028</v>
      </c>
      <c r="D554" s="4">
        <v>58105</v>
      </c>
      <c r="E554" s="8">
        <v>1030000</v>
      </c>
      <c r="F554" s="8">
        <f>E554+500000</f>
        <v>1530000</v>
      </c>
      <c r="G554" s="8">
        <f>E554-F554</f>
        <v>-500000</v>
      </c>
    </row>
    <row r="555" spans="1:7" x14ac:dyDescent="0.25">
      <c r="A555" s="4">
        <v>115</v>
      </c>
      <c r="B555" s="4" t="s">
        <v>23</v>
      </c>
      <c r="C555" s="4">
        <v>2029</v>
      </c>
      <c r="D555" s="4">
        <v>58105</v>
      </c>
      <c r="E555" s="8">
        <v>1030000</v>
      </c>
      <c r="F555" s="8">
        <f>E555+500000</f>
        <v>1530000</v>
      </c>
      <c r="G555" s="8">
        <f>E555-F555</f>
        <v>-500000</v>
      </c>
    </row>
    <row r="556" spans="1:7" x14ac:dyDescent="0.25">
      <c r="A556" s="4">
        <v>115</v>
      </c>
      <c r="B556" s="4" t="s">
        <v>23</v>
      </c>
      <c r="C556" s="4">
        <v>2030</v>
      </c>
      <c r="D556" s="4">
        <v>58105</v>
      </c>
      <c r="E556" s="8">
        <v>1030000</v>
      </c>
      <c r="F556" s="8">
        <f>E556+500000</f>
        <v>1530000</v>
      </c>
      <c r="G556" s="8">
        <f>E556-F556</f>
        <v>-500000</v>
      </c>
    </row>
    <row r="557" spans="1:7" x14ac:dyDescent="0.25">
      <c r="E557" s="49" t="s">
        <v>13</v>
      </c>
      <c r="F557" s="49"/>
      <c r="G557" s="9">
        <f>SUM(G552:G556)</f>
        <v>-13750000</v>
      </c>
    </row>
    <row r="559" spans="1:7" x14ac:dyDescent="0.25">
      <c r="A559" s="1" t="s">
        <v>68</v>
      </c>
    </row>
    <row r="560" spans="1:7" x14ac:dyDescent="0.25">
      <c r="A560" s="2" t="s">
        <v>2</v>
      </c>
      <c r="B560" s="2"/>
      <c r="C560" s="2" t="s">
        <v>3</v>
      </c>
      <c r="D560" s="2"/>
      <c r="E560" s="48"/>
      <c r="F560" s="48"/>
      <c r="G560" s="48"/>
    </row>
    <row r="561" spans="1:7" x14ac:dyDescent="0.25">
      <c r="A561" s="2" t="s">
        <v>4</v>
      </c>
      <c r="B561" s="2"/>
      <c r="C561" s="2" t="s">
        <v>5</v>
      </c>
      <c r="D561" s="2" t="s">
        <v>6</v>
      </c>
      <c r="E561" s="2" t="s">
        <v>7</v>
      </c>
      <c r="F561" s="2" t="s">
        <v>8</v>
      </c>
      <c r="G561" s="2" t="s">
        <v>9</v>
      </c>
    </row>
    <row r="562" spans="1:7" x14ac:dyDescent="0.25">
      <c r="A562" s="4">
        <v>115</v>
      </c>
      <c r="B562" s="4" t="s">
        <v>23</v>
      </c>
      <c r="C562" s="4">
        <v>2026</v>
      </c>
      <c r="D562" s="4">
        <v>53517</v>
      </c>
      <c r="E562" s="8">
        <v>475000</v>
      </c>
      <c r="F562" s="8">
        <f>E562+500000</f>
        <v>975000</v>
      </c>
      <c r="G562" s="8">
        <f>E562-F562</f>
        <v>-500000</v>
      </c>
    </row>
    <row r="563" spans="1:7" x14ac:dyDescent="0.25">
      <c r="A563" s="4">
        <v>115</v>
      </c>
      <c r="B563" s="4" t="s">
        <v>23</v>
      </c>
      <c r="C563" s="4">
        <v>2027</v>
      </c>
      <c r="D563" s="4">
        <v>53517</v>
      </c>
      <c r="E563" s="8">
        <v>475000</v>
      </c>
      <c r="F563" s="8">
        <f>E563+500000</f>
        <v>975000</v>
      </c>
      <c r="G563" s="8">
        <f>E563-F563</f>
        <v>-500000</v>
      </c>
    </row>
    <row r="564" spans="1:7" x14ac:dyDescent="0.25">
      <c r="A564" s="4">
        <v>115</v>
      </c>
      <c r="B564" s="4" t="s">
        <v>23</v>
      </c>
      <c r="C564" s="4">
        <v>2028</v>
      </c>
      <c r="D564" s="4">
        <v>53517</v>
      </c>
      <c r="E564" s="8">
        <v>475000</v>
      </c>
      <c r="F564" s="8">
        <f>E564+500000</f>
        <v>975000</v>
      </c>
      <c r="G564" s="8">
        <f>E564-F564</f>
        <v>-500000</v>
      </c>
    </row>
    <row r="565" spans="1:7" x14ac:dyDescent="0.25">
      <c r="A565" s="4">
        <v>115</v>
      </c>
      <c r="B565" s="4" t="s">
        <v>23</v>
      </c>
      <c r="C565" s="4">
        <v>2029</v>
      </c>
      <c r="D565" s="4">
        <v>53517</v>
      </c>
      <c r="E565" s="8">
        <v>475000</v>
      </c>
      <c r="F565" s="8">
        <f>E565+500000</f>
        <v>975000</v>
      </c>
      <c r="G565" s="8">
        <f>E565-F565</f>
        <v>-500000</v>
      </c>
    </row>
    <row r="566" spans="1:7" x14ac:dyDescent="0.25">
      <c r="A566" s="4">
        <v>115</v>
      </c>
      <c r="B566" s="4" t="s">
        <v>23</v>
      </c>
      <c r="C566" s="4">
        <v>2030</v>
      </c>
      <c r="D566" s="4">
        <v>53517</v>
      </c>
      <c r="E566" s="8">
        <v>475000</v>
      </c>
      <c r="F566" s="8">
        <f>E566+500000</f>
        <v>975000</v>
      </c>
      <c r="G566" s="8">
        <f>E566-F566</f>
        <v>-500000</v>
      </c>
    </row>
    <row r="567" spans="1:7" x14ac:dyDescent="0.25">
      <c r="E567" s="49" t="s">
        <v>13</v>
      </c>
      <c r="F567" s="49"/>
      <c r="G567" s="9">
        <f>SUM(G562:G566)</f>
        <v>-2500000</v>
      </c>
    </row>
    <row r="569" spans="1:7" x14ac:dyDescent="0.25">
      <c r="A569" s="1" t="s">
        <v>69</v>
      </c>
    </row>
    <row r="570" spans="1:7" x14ac:dyDescent="0.25">
      <c r="A570" s="2" t="s">
        <v>2</v>
      </c>
      <c r="B570" s="2"/>
      <c r="C570" s="2" t="s">
        <v>3</v>
      </c>
      <c r="D570" s="2"/>
      <c r="E570" s="48"/>
      <c r="F570" s="48"/>
      <c r="G570" s="48"/>
    </row>
    <row r="571" spans="1:7" x14ac:dyDescent="0.25">
      <c r="A571" s="2" t="s">
        <v>4</v>
      </c>
      <c r="B571" s="2"/>
      <c r="C571" s="2" t="s">
        <v>5</v>
      </c>
      <c r="D571" s="2" t="s">
        <v>6</v>
      </c>
      <c r="E571" s="2" t="s">
        <v>7</v>
      </c>
      <c r="F571" s="2" t="s">
        <v>8</v>
      </c>
      <c r="G571" s="2" t="s">
        <v>9</v>
      </c>
    </row>
    <row r="572" spans="1:7" x14ac:dyDescent="0.25">
      <c r="A572" s="4">
        <v>72</v>
      </c>
      <c r="B572" s="4" t="s">
        <v>26</v>
      </c>
      <c r="C572" s="4">
        <v>2026</v>
      </c>
      <c r="D572" s="4">
        <v>54105</v>
      </c>
      <c r="E572" s="8">
        <v>0</v>
      </c>
      <c r="F572" s="8">
        <v>300000</v>
      </c>
      <c r="G572" s="8">
        <f>E572-F572</f>
        <v>-300000</v>
      </c>
    </row>
    <row r="573" spans="1:7" x14ac:dyDescent="0.25">
      <c r="A573" s="4">
        <v>72</v>
      </c>
      <c r="B573" s="4" t="s">
        <v>26</v>
      </c>
      <c r="C573" s="4">
        <v>2027</v>
      </c>
      <c r="D573" s="4">
        <v>54105</v>
      </c>
      <c r="E573" s="8">
        <v>0</v>
      </c>
      <c r="F573" s="8">
        <v>300000</v>
      </c>
      <c r="G573" s="8">
        <f>E573-F573</f>
        <v>-300000</v>
      </c>
    </row>
    <row r="574" spans="1:7" x14ac:dyDescent="0.25">
      <c r="A574" s="4">
        <v>72</v>
      </c>
      <c r="B574" s="4" t="s">
        <v>26</v>
      </c>
      <c r="C574" s="4">
        <v>2028</v>
      </c>
      <c r="D574" s="4">
        <v>54105</v>
      </c>
      <c r="E574" s="8">
        <v>0</v>
      </c>
      <c r="F574" s="8">
        <v>300000</v>
      </c>
      <c r="G574" s="8">
        <f>E574-F574</f>
        <v>-300000</v>
      </c>
    </row>
    <row r="575" spans="1:7" x14ac:dyDescent="0.25">
      <c r="A575" s="4">
        <v>72</v>
      </c>
      <c r="B575" s="4" t="s">
        <v>26</v>
      </c>
      <c r="C575" s="4">
        <v>2029</v>
      </c>
      <c r="D575" s="4">
        <v>54105</v>
      </c>
      <c r="E575" s="8">
        <v>0</v>
      </c>
      <c r="F575" s="8">
        <v>300000</v>
      </c>
      <c r="G575" s="8">
        <f>E575-F575</f>
        <v>-300000</v>
      </c>
    </row>
    <row r="576" spans="1:7" x14ac:dyDescent="0.25">
      <c r="A576" s="4">
        <v>72</v>
      </c>
      <c r="B576" s="4" t="s">
        <v>26</v>
      </c>
      <c r="C576" s="4">
        <v>2030</v>
      </c>
      <c r="D576" s="4">
        <v>54105</v>
      </c>
      <c r="E576" s="8">
        <v>0</v>
      </c>
      <c r="F576" s="8">
        <v>300000</v>
      </c>
      <c r="G576" s="8">
        <f>E576-F576</f>
        <v>-300000</v>
      </c>
    </row>
    <row r="577" spans="1:7" x14ac:dyDescent="0.25">
      <c r="E577" s="49" t="s">
        <v>13</v>
      </c>
      <c r="F577" s="49"/>
      <c r="G577" s="9">
        <f>SUM(G572:G576)</f>
        <v>-1500000</v>
      </c>
    </row>
    <row r="579" spans="1:7" x14ac:dyDescent="0.25">
      <c r="A579" s="1" t="s">
        <v>70</v>
      </c>
    </row>
    <row r="580" spans="1:7" x14ac:dyDescent="0.25">
      <c r="A580" s="2" t="s">
        <v>2</v>
      </c>
      <c r="B580" s="2"/>
      <c r="C580" s="2" t="s">
        <v>3</v>
      </c>
      <c r="D580" s="2"/>
      <c r="E580" s="48"/>
      <c r="F580" s="48"/>
      <c r="G580" s="48"/>
    </row>
    <row r="581" spans="1:7" x14ac:dyDescent="0.25">
      <c r="A581" s="2" t="s">
        <v>4</v>
      </c>
      <c r="B581" s="2"/>
      <c r="C581" s="2" t="s">
        <v>5</v>
      </c>
      <c r="D581" s="2" t="s">
        <v>6</v>
      </c>
      <c r="E581" s="2" t="s">
        <v>7</v>
      </c>
      <c r="F581" s="2" t="s">
        <v>8</v>
      </c>
      <c r="G581" s="2" t="s">
        <v>9</v>
      </c>
    </row>
    <row r="582" spans="1:7" x14ac:dyDescent="0.25">
      <c r="A582" s="4">
        <v>71</v>
      </c>
      <c r="B582" s="4" t="s">
        <v>26</v>
      </c>
      <c r="C582" s="4">
        <v>2026</v>
      </c>
      <c r="D582" s="4">
        <v>51103</v>
      </c>
      <c r="E582" s="8">
        <v>0</v>
      </c>
      <c r="F582" s="8">
        <v>50000</v>
      </c>
      <c r="G582" s="8">
        <f>E582-F582</f>
        <v>-50000</v>
      </c>
    </row>
    <row r="583" spans="1:7" x14ac:dyDescent="0.25">
      <c r="A583" s="4">
        <v>71</v>
      </c>
      <c r="B583" s="4" t="s">
        <v>26</v>
      </c>
      <c r="C583" s="4">
        <v>2027</v>
      </c>
      <c r="D583" s="4">
        <v>51103</v>
      </c>
      <c r="E583" s="8">
        <v>0</v>
      </c>
      <c r="F583" s="8">
        <v>50000</v>
      </c>
      <c r="G583" s="8">
        <f>E583-F583</f>
        <v>-50000</v>
      </c>
    </row>
    <row r="584" spans="1:7" x14ac:dyDescent="0.25">
      <c r="A584" s="4">
        <v>71</v>
      </c>
      <c r="B584" s="4" t="s">
        <v>26</v>
      </c>
      <c r="C584" s="4">
        <v>2028</v>
      </c>
      <c r="D584" s="4">
        <v>51103</v>
      </c>
      <c r="E584" s="8">
        <v>0</v>
      </c>
      <c r="F584" s="8">
        <v>50000</v>
      </c>
      <c r="G584" s="8">
        <f>E584-F584</f>
        <v>-50000</v>
      </c>
    </row>
    <row r="585" spans="1:7" x14ac:dyDescent="0.25">
      <c r="A585" s="4">
        <v>71</v>
      </c>
      <c r="B585" s="4" t="s">
        <v>26</v>
      </c>
      <c r="C585" s="4">
        <v>2029</v>
      </c>
      <c r="D585" s="4">
        <v>51103</v>
      </c>
      <c r="E585" s="8">
        <v>0</v>
      </c>
      <c r="F585" s="8">
        <v>50000</v>
      </c>
      <c r="G585" s="8">
        <f>E585-F585</f>
        <v>-50000</v>
      </c>
    </row>
    <row r="586" spans="1:7" x14ac:dyDescent="0.25">
      <c r="A586" s="4">
        <v>71</v>
      </c>
      <c r="B586" s="4" t="s">
        <v>26</v>
      </c>
      <c r="C586" s="4">
        <v>2030</v>
      </c>
      <c r="D586" s="4">
        <v>51103</v>
      </c>
      <c r="E586" s="8">
        <v>0</v>
      </c>
      <c r="F586" s="8">
        <v>50000</v>
      </c>
      <c r="G586" s="8">
        <f>E586-F586</f>
        <v>-50000</v>
      </c>
    </row>
    <row r="587" spans="1:7" x14ac:dyDescent="0.25">
      <c r="E587" s="49" t="s">
        <v>13</v>
      </c>
      <c r="F587" s="49"/>
      <c r="G587" s="9">
        <f>SUM(G582:G586)</f>
        <v>-250000</v>
      </c>
    </row>
    <row r="589" spans="1:7" x14ac:dyDescent="0.25">
      <c r="A589" s="1" t="s">
        <v>71</v>
      </c>
    </row>
    <row r="590" spans="1:7" x14ac:dyDescent="0.25">
      <c r="A590" s="2" t="s">
        <v>2</v>
      </c>
      <c r="B590" s="2"/>
      <c r="C590" s="2" t="s">
        <v>3</v>
      </c>
      <c r="D590" s="2"/>
      <c r="E590" s="48"/>
      <c r="F590" s="48"/>
      <c r="G590" s="48"/>
    </row>
    <row r="591" spans="1:7" x14ac:dyDescent="0.25">
      <c r="A591" s="2" t="s">
        <v>4</v>
      </c>
      <c r="B591" s="2"/>
      <c r="C591" s="2" t="s">
        <v>5</v>
      </c>
      <c r="D591" s="2" t="s">
        <v>6</v>
      </c>
      <c r="E591" s="2" t="s">
        <v>7</v>
      </c>
      <c r="F591" s="2" t="s">
        <v>8</v>
      </c>
      <c r="G591" s="2" t="s">
        <v>9</v>
      </c>
    </row>
    <row r="592" spans="1:7" x14ac:dyDescent="0.25">
      <c r="A592" s="4">
        <v>72</v>
      </c>
      <c r="B592" s="4" t="s">
        <v>26</v>
      </c>
      <c r="C592" s="4">
        <v>2026</v>
      </c>
      <c r="D592" s="4">
        <v>53901</v>
      </c>
      <c r="E592" s="8">
        <v>0</v>
      </c>
      <c r="F592" s="8">
        <v>20000</v>
      </c>
      <c r="G592" s="8">
        <f>E592-F592</f>
        <v>-20000</v>
      </c>
    </row>
    <row r="593" spans="1:7" x14ac:dyDescent="0.25">
      <c r="A593" s="4">
        <v>72</v>
      </c>
      <c r="B593" s="4" t="s">
        <v>26</v>
      </c>
      <c r="C593" s="4">
        <v>2027</v>
      </c>
      <c r="D593" s="4">
        <v>53901</v>
      </c>
      <c r="E593" s="8">
        <v>0</v>
      </c>
      <c r="F593" s="8">
        <v>20000</v>
      </c>
      <c r="G593" s="8">
        <f>E593-F593</f>
        <v>-20000</v>
      </c>
    </row>
    <row r="594" spans="1:7" x14ac:dyDescent="0.25">
      <c r="A594" s="4">
        <v>72</v>
      </c>
      <c r="B594" s="4" t="s">
        <v>26</v>
      </c>
      <c r="C594" s="4">
        <v>2028</v>
      </c>
      <c r="D594" s="4">
        <v>53901</v>
      </c>
      <c r="E594" s="8">
        <v>0</v>
      </c>
      <c r="F594" s="8">
        <v>20000</v>
      </c>
      <c r="G594" s="8">
        <f>E594-F594</f>
        <v>-20000</v>
      </c>
    </row>
    <row r="595" spans="1:7" x14ac:dyDescent="0.25">
      <c r="A595" s="4">
        <v>72</v>
      </c>
      <c r="B595" s="4" t="s">
        <v>26</v>
      </c>
      <c r="C595" s="4">
        <v>2029</v>
      </c>
      <c r="D595" s="4">
        <v>53901</v>
      </c>
      <c r="E595" s="8">
        <v>0</v>
      </c>
      <c r="F595" s="8">
        <v>20000</v>
      </c>
      <c r="G595" s="8">
        <f>E595-F595</f>
        <v>-20000</v>
      </c>
    </row>
    <row r="596" spans="1:7" x14ac:dyDescent="0.25">
      <c r="A596" s="4">
        <v>72</v>
      </c>
      <c r="B596" s="4" t="s">
        <v>26</v>
      </c>
      <c r="C596" s="4">
        <v>2030</v>
      </c>
      <c r="D596" s="4">
        <v>53901</v>
      </c>
      <c r="E596" s="8">
        <v>0</v>
      </c>
      <c r="F596" s="8">
        <v>20000</v>
      </c>
      <c r="G596" s="8">
        <f>E596-F596</f>
        <v>-20000</v>
      </c>
    </row>
    <row r="597" spans="1:7" x14ac:dyDescent="0.25">
      <c r="E597" s="49" t="s">
        <v>13</v>
      </c>
      <c r="F597" s="49"/>
      <c r="G597" s="9">
        <f>SUM(G592:G596)</f>
        <v>-100000</v>
      </c>
    </row>
    <row r="599" spans="1:7" x14ac:dyDescent="0.25">
      <c r="A599" s="1" t="s">
        <v>72</v>
      </c>
    </row>
    <row r="600" spans="1:7" x14ac:dyDescent="0.25">
      <c r="A600" s="2" t="s">
        <v>2</v>
      </c>
      <c r="B600" s="2"/>
      <c r="C600" s="2" t="s">
        <v>3</v>
      </c>
      <c r="D600" s="2"/>
      <c r="E600" s="48"/>
      <c r="F600" s="48"/>
      <c r="G600" s="48"/>
    </row>
    <row r="601" spans="1:7" x14ac:dyDescent="0.25">
      <c r="A601" s="2" t="s">
        <v>4</v>
      </c>
      <c r="B601" s="2"/>
      <c r="C601" s="2" t="s">
        <v>5</v>
      </c>
      <c r="D601" s="2" t="s">
        <v>6</v>
      </c>
      <c r="E601" s="2" t="s">
        <v>7</v>
      </c>
      <c r="F601" s="2" t="s">
        <v>8</v>
      </c>
      <c r="G601" s="2" t="s">
        <v>9</v>
      </c>
    </row>
    <row r="602" spans="1:7" x14ac:dyDescent="0.25">
      <c r="A602" s="4">
        <v>72</v>
      </c>
      <c r="B602" s="4" t="s">
        <v>26</v>
      </c>
      <c r="C602" s="4">
        <v>2026</v>
      </c>
      <c r="D602" s="4">
        <v>53101</v>
      </c>
      <c r="E602" s="8">
        <v>2675</v>
      </c>
      <c r="F602" s="8">
        <v>1225</v>
      </c>
      <c r="G602" s="8">
        <f t="shared" ref="G602:G621" si="17">E602-F602</f>
        <v>1450</v>
      </c>
    </row>
    <row r="603" spans="1:7" x14ac:dyDescent="0.25">
      <c r="A603" s="4">
        <v>72</v>
      </c>
      <c r="B603" s="4" t="s">
        <v>26</v>
      </c>
      <c r="C603" s="4">
        <v>2026</v>
      </c>
      <c r="D603" s="4">
        <v>53509</v>
      </c>
      <c r="E603" s="15">
        <v>25137</v>
      </c>
      <c r="F603" s="8">
        <v>3850</v>
      </c>
      <c r="G603" s="8">
        <f t="shared" si="17"/>
        <v>21287</v>
      </c>
    </row>
    <row r="604" spans="1:7" x14ac:dyDescent="0.25">
      <c r="A604" s="4">
        <v>72</v>
      </c>
      <c r="B604" s="4" t="s">
        <v>26</v>
      </c>
      <c r="C604" s="4">
        <v>2027</v>
      </c>
      <c r="D604" s="4">
        <v>53101</v>
      </c>
      <c r="E604" s="8">
        <v>2675</v>
      </c>
      <c r="F604" s="8">
        <v>1225</v>
      </c>
      <c r="G604" s="8">
        <f t="shared" si="17"/>
        <v>1450</v>
      </c>
    </row>
    <row r="605" spans="1:7" x14ac:dyDescent="0.25">
      <c r="A605" s="4">
        <v>72</v>
      </c>
      <c r="B605" s="4" t="s">
        <v>26</v>
      </c>
      <c r="C605" s="4">
        <v>2027</v>
      </c>
      <c r="D605" s="4">
        <v>53509</v>
      </c>
      <c r="E605" s="15">
        <v>26201</v>
      </c>
      <c r="F605" s="8">
        <v>3850</v>
      </c>
      <c r="G605" s="8">
        <f t="shared" si="17"/>
        <v>22351</v>
      </c>
    </row>
    <row r="606" spans="1:7" x14ac:dyDescent="0.25">
      <c r="A606" s="4">
        <v>72</v>
      </c>
      <c r="B606" s="4" t="s">
        <v>26</v>
      </c>
      <c r="C606" s="4">
        <v>2028</v>
      </c>
      <c r="D606" s="4">
        <v>53101</v>
      </c>
      <c r="E606" s="8">
        <v>2675</v>
      </c>
      <c r="F606" s="8">
        <v>1225</v>
      </c>
      <c r="G606" s="8">
        <f t="shared" si="17"/>
        <v>1450</v>
      </c>
    </row>
    <row r="607" spans="1:7" x14ac:dyDescent="0.25">
      <c r="A607" s="4">
        <v>72</v>
      </c>
      <c r="B607" s="4" t="s">
        <v>26</v>
      </c>
      <c r="C607" s="4">
        <v>2028</v>
      </c>
      <c r="D607" s="4">
        <v>53509</v>
      </c>
      <c r="E607" s="8">
        <v>26201</v>
      </c>
      <c r="F607" s="8">
        <v>3850</v>
      </c>
      <c r="G607" s="8">
        <f t="shared" si="17"/>
        <v>22351</v>
      </c>
    </row>
    <row r="608" spans="1:7" x14ac:dyDescent="0.25">
      <c r="A608" s="4">
        <v>72</v>
      </c>
      <c r="B608" s="4" t="s">
        <v>26</v>
      </c>
      <c r="C608" s="4">
        <v>2029</v>
      </c>
      <c r="D608" s="4">
        <v>53101</v>
      </c>
      <c r="E608" s="8">
        <v>2675</v>
      </c>
      <c r="F608" s="8">
        <v>1225</v>
      </c>
      <c r="G608" s="8">
        <f t="shared" si="17"/>
        <v>1450</v>
      </c>
    </row>
    <row r="609" spans="1:7" x14ac:dyDescent="0.25">
      <c r="A609" s="4">
        <v>72</v>
      </c>
      <c r="B609" s="4" t="s">
        <v>26</v>
      </c>
      <c r="C609" s="4">
        <v>2029</v>
      </c>
      <c r="D609" s="4">
        <v>53509</v>
      </c>
      <c r="E609" s="8">
        <v>26201</v>
      </c>
      <c r="F609" s="8">
        <v>3850</v>
      </c>
      <c r="G609" s="8">
        <f t="shared" si="17"/>
        <v>22351</v>
      </c>
    </row>
    <row r="610" spans="1:7" x14ac:dyDescent="0.25">
      <c r="A610" s="4">
        <v>72</v>
      </c>
      <c r="B610" s="4" t="s">
        <v>26</v>
      </c>
      <c r="C610" s="4">
        <v>2030</v>
      </c>
      <c r="D610" s="4">
        <v>53101</v>
      </c>
      <c r="E610" s="8">
        <v>2675</v>
      </c>
      <c r="F610" s="8">
        <v>1225</v>
      </c>
      <c r="G610" s="8">
        <f t="shared" si="17"/>
        <v>1450</v>
      </c>
    </row>
    <row r="611" spans="1:7" x14ac:dyDescent="0.25">
      <c r="A611" s="4">
        <v>72</v>
      </c>
      <c r="B611" s="4" t="s">
        <v>26</v>
      </c>
      <c r="C611" s="4">
        <v>2030</v>
      </c>
      <c r="D611" s="4">
        <v>53509</v>
      </c>
      <c r="E611" s="8">
        <v>26201</v>
      </c>
      <c r="F611" s="8">
        <v>3850</v>
      </c>
      <c r="G611" s="8">
        <f t="shared" si="17"/>
        <v>22351</v>
      </c>
    </row>
    <row r="612" spans="1:7" x14ac:dyDescent="0.25">
      <c r="A612" s="4">
        <v>80</v>
      </c>
      <c r="B612" s="4" t="s">
        <v>73</v>
      </c>
      <c r="C612" s="4">
        <v>2026</v>
      </c>
      <c r="D612" s="4">
        <v>53101</v>
      </c>
      <c r="E612" s="8">
        <v>454888</v>
      </c>
      <c r="F612" s="8">
        <v>456338</v>
      </c>
      <c r="G612" s="8">
        <f t="shared" si="17"/>
        <v>-1450</v>
      </c>
    </row>
    <row r="613" spans="1:7" x14ac:dyDescent="0.25">
      <c r="A613" s="4">
        <v>80</v>
      </c>
      <c r="B613" s="4" t="s">
        <v>73</v>
      </c>
      <c r="C613" s="4">
        <v>2026</v>
      </c>
      <c r="D613" s="4">
        <v>53509</v>
      </c>
      <c r="E613" s="8">
        <v>232756</v>
      </c>
      <c r="F613" s="8">
        <v>254043</v>
      </c>
      <c r="G613" s="8">
        <f t="shared" si="17"/>
        <v>-21287</v>
      </c>
    </row>
    <row r="614" spans="1:7" x14ac:dyDescent="0.25">
      <c r="A614" s="4">
        <v>80</v>
      </c>
      <c r="B614" s="4" t="s">
        <v>73</v>
      </c>
      <c r="C614" s="4">
        <v>2027</v>
      </c>
      <c r="D614" s="4">
        <v>53101</v>
      </c>
      <c r="E614" s="8">
        <v>454888</v>
      </c>
      <c r="F614" s="8">
        <v>456338</v>
      </c>
      <c r="G614" s="8">
        <f t="shared" si="17"/>
        <v>-1450</v>
      </c>
    </row>
    <row r="615" spans="1:7" x14ac:dyDescent="0.25">
      <c r="A615" s="4">
        <v>80</v>
      </c>
      <c r="B615" s="4" t="s">
        <v>73</v>
      </c>
      <c r="C615" s="4">
        <v>2027</v>
      </c>
      <c r="D615" s="4">
        <v>53509</v>
      </c>
      <c r="E615" s="8">
        <v>235038</v>
      </c>
      <c r="F615" s="8">
        <v>257389</v>
      </c>
      <c r="G615" s="8">
        <f t="shared" si="17"/>
        <v>-22351</v>
      </c>
    </row>
    <row r="616" spans="1:7" x14ac:dyDescent="0.25">
      <c r="A616" s="4">
        <v>80</v>
      </c>
      <c r="B616" s="4" t="s">
        <v>73</v>
      </c>
      <c r="C616" s="4">
        <v>2028</v>
      </c>
      <c r="D616" s="4">
        <v>53101</v>
      </c>
      <c r="E616" s="8">
        <v>454888</v>
      </c>
      <c r="F616" s="8">
        <v>456338</v>
      </c>
      <c r="G616" s="8">
        <f t="shared" si="17"/>
        <v>-1450</v>
      </c>
    </row>
    <row r="617" spans="1:7" x14ac:dyDescent="0.25">
      <c r="A617" s="4">
        <v>80</v>
      </c>
      <c r="B617" s="4" t="s">
        <v>73</v>
      </c>
      <c r="C617" s="4">
        <v>2028</v>
      </c>
      <c r="D617" s="4">
        <v>53509</v>
      </c>
      <c r="E617" s="8">
        <v>235732</v>
      </c>
      <c r="F617" s="8">
        <v>258083</v>
      </c>
      <c r="G617" s="8">
        <f t="shared" si="17"/>
        <v>-22351</v>
      </c>
    </row>
    <row r="618" spans="1:7" x14ac:dyDescent="0.25">
      <c r="A618" s="4">
        <v>80</v>
      </c>
      <c r="B618" s="4" t="s">
        <v>73</v>
      </c>
      <c r="C618" s="4">
        <v>2029</v>
      </c>
      <c r="D618" s="4">
        <v>53101</v>
      </c>
      <c r="E618" s="8">
        <v>454888</v>
      </c>
      <c r="F618" s="8">
        <v>456338</v>
      </c>
      <c r="G618" s="8">
        <f t="shared" si="17"/>
        <v>-1450</v>
      </c>
    </row>
    <row r="619" spans="1:7" x14ac:dyDescent="0.25">
      <c r="A619" s="4">
        <v>80</v>
      </c>
      <c r="B619" s="4" t="s">
        <v>73</v>
      </c>
      <c r="C619" s="4">
        <v>2029</v>
      </c>
      <c r="D619" s="4">
        <v>53509</v>
      </c>
      <c r="E619" s="8">
        <v>235732</v>
      </c>
      <c r="F619" s="8">
        <v>258083</v>
      </c>
      <c r="G619" s="8">
        <f t="shared" si="17"/>
        <v>-22351</v>
      </c>
    </row>
    <row r="620" spans="1:7" x14ac:dyDescent="0.25">
      <c r="A620" s="4">
        <v>80</v>
      </c>
      <c r="B620" s="4" t="s">
        <v>73</v>
      </c>
      <c r="C620" s="4">
        <v>2030</v>
      </c>
      <c r="D620" s="4">
        <v>53101</v>
      </c>
      <c r="E620" s="8">
        <v>454888</v>
      </c>
      <c r="F620" s="8">
        <v>456338</v>
      </c>
      <c r="G620" s="8">
        <f t="shared" si="17"/>
        <v>-1450</v>
      </c>
    </row>
    <row r="621" spans="1:7" x14ac:dyDescent="0.25">
      <c r="A621" s="4">
        <v>80</v>
      </c>
      <c r="B621" s="4" t="s">
        <v>73</v>
      </c>
      <c r="C621" s="4">
        <v>2030</v>
      </c>
      <c r="D621" s="4">
        <v>53509</v>
      </c>
      <c r="E621" s="8">
        <v>235732</v>
      </c>
      <c r="F621" s="8">
        <v>258083</v>
      </c>
      <c r="G621" s="8">
        <f t="shared" si="17"/>
        <v>-22351</v>
      </c>
    </row>
    <row r="622" spans="1:7" x14ac:dyDescent="0.25">
      <c r="E622" s="49" t="s">
        <v>13</v>
      </c>
      <c r="F622" s="49"/>
      <c r="G622" s="9">
        <f>SUM(G602:G621)</f>
        <v>0</v>
      </c>
    </row>
    <row r="624" spans="1:7" x14ac:dyDescent="0.25">
      <c r="A624" s="1" t="s">
        <v>74</v>
      </c>
    </row>
    <row r="625" spans="1:7" x14ac:dyDescent="0.25">
      <c r="A625" s="2" t="s">
        <v>2</v>
      </c>
      <c r="B625" s="2"/>
      <c r="C625" s="2" t="s">
        <v>3</v>
      </c>
      <c r="D625" s="2"/>
      <c r="E625" s="48"/>
      <c r="F625" s="48"/>
      <c r="G625" s="48"/>
    </row>
    <row r="626" spans="1:7" x14ac:dyDescent="0.25">
      <c r="A626" s="2" t="s">
        <v>4</v>
      </c>
      <c r="B626" s="2"/>
      <c r="C626" s="2" t="s">
        <v>5</v>
      </c>
      <c r="D626" s="2" t="s">
        <v>6</v>
      </c>
      <c r="E626" s="2" t="s">
        <v>7</v>
      </c>
      <c r="F626" s="2" t="s">
        <v>8</v>
      </c>
      <c r="G626" s="2" t="s">
        <v>9</v>
      </c>
    </row>
    <row r="627" spans="1:7" x14ac:dyDescent="0.25">
      <c r="A627" s="4">
        <v>80</v>
      </c>
      <c r="B627" s="4" t="s">
        <v>73</v>
      </c>
      <c r="C627" s="4">
        <v>2026</v>
      </c>
      <c r="D627" s="4">
        <v>53101</v>
      </c>
      <c r="E627" s="8">
        <v>454888</v>
      </c>
      <c r="F627" s="8">
        <v>460888</v>
      </c>
      <c r="G627" s="8">
        <f>E627-F627</f>
        <v>-6000</v>
      </c>
    </row>
    <row r="628" spans="1:7" x14ac:dyDescent="0.25">
      <c r="A628" s="4">
        <v>80</v>
      </c>
      <c r="B628" s="4" t="s">
        <v>73</v>
      </c>
      <c r="C628" s="4">
        <v>2026</v>
      </c>
      <c r="D628" s="4">
        <v>53301</v>
      </c>
      <c r="E628" s="8">
        <v>12750</v>
      </c>
      <c r="F628" s="8">
        <v>22750</v>
      </c>
      <c r="G628" s="8">
        <f>E628-F628</f>
        <v>-10000</v>
      </c>
    </row>
    <row r="629" spans="1:7" x14ac:dyDescent="0.25">
      <c r="A629" s="4">
        <v>80</v>
      </c>
      <c r="B629" s="4" t="s">
        <v>73</v>
      </c>
      <c r="C629" s="4">
        <v>2026</v>
      </c>
      <c r="D629" s="4">
        <v>53509</v>
      </c>
      <c r="E629" s="8">
        <v>232756</v>
      </c>
      <c r="F629" s="8">
        <v>233801</v>
      </c>
      <c r="G629" s="8">
        <f>E629-F629</f>
        <v>-1045</v>
      </c>
    </row>
    <row r="630" spans="1:7" x14ac:dyDescent="0.25">
      <c r="A630" s="4">
        <v>80</v>
      </c>
      <c r="B630" s="4" t="s">
        <v>73</v>
      </c>
      <c r="C630" s="4">
        <v>2026</v>
      </c>
      <c r="D630" s="4">
        <v>53725</v>
      </c>
      <c r="E630" s="8">
        <v>34824</v>
      </c>
      <c r="F630" s="8">
        <v>38100</v>
      </c>
      <c r="G630" s="8">
        <f>E630-F630</f>
        <v>-3276</v>
      </c>
    </row>
    <row r="631" spans="1:7" x14ac:dyDescent="0.25">
      <c r="E631" s="49" t="s">
        <v>13</v>
      </c>
      <c r="F631" s="49"/>
      <c r="G631" s="9">
        <f>SUM(G627:G630)</f>
        <v>-20321</v>
      </c>
    </row>
    <row r="633" spans="1:7" x14ac:dyDescent="0.25">
      <c r="A633" s="1" t="s">
        <v>75</v>
      </c>
    </row>
    <row r="634" spans="1:7" x14ac:dyDescent="0.25">
      <c r="A634" s="2" t="s">
        <v>2</v>
      </c>
      <c r="B634" s="2"/>
      <c r="C634" s="2" t="s">
        <v>3</v>
      </c>
      <c r="D634" s="2"/>
      <c r="E634" s="48"/>
      <c r="F634" s="48"/>
      <c r="G634" s="48"/>
    </row>
    <row r="635" spans="1:7" x14ac:dyDescent="0.25">
      <c r="A635" s="2" t="s">
        <v>4</v>
      </c>
      <c r="B635" s="2"/>
      <c r="C635" s="2" t="s">
        <v>5</v>
      </c>
      <c r="D635" s="2" t="s">
        <v>6</v>
      </c>
      <c r="E635" s="2" t="s">
        <v>7</v>
      </c>
      <c r="F635" s="2" t="s">
        <v>8</v>
      </c>
      <c r="G635" s="2" t="s">
        <v>9</v>
      </c>
    </row>
    <row r="636" spans="1:7" x14ac:dyDescent="0.25">
      <c r="A636" s="4">
        <v>80</v>
      </c>
      <c r="B636" s="4" t="s">
        <v>73</v>
      </c>
      <c r="C636" s="4">
        <v>2026</v>
      </c>
      <c r="D636" s="4">
        <v>55101</v>
      </c>
      <c r="E636" s="8">
        <v>829747</v>
      </c>
      <c r="F636" s="8">
        <v>834397.6</v>
      </c>
      <c r="G636" s="8">
        <f>E636-F636</f>
        <v>-4650.5999999999767</v>
      </c>
    </row>
    <row r="637" spans="1:7" x14ac:dyDescent="0.25">
      <c r="E637" s="49" t="s">
        <v>13</v>
      </c>
      <c r="F637" s="49"/>
      <c r="G637" s="9">
        <f>SUM(G636)</f>
        <v>-4650.5999999999767</v>
      </c>
    </row>
    <row r="639" spans="1:7" x14ac:dyDescent="0.25">
      <c r="A639" s="1" t="s">
        <v>76</v>
      </c>
    </row>
    <row r="640" spans="1:7" x14ac:dyDescent="0.25">
      <c r="A640" s="2" t="s">
        <v>2</v>
      </c>
      <c r="B640" s="2"/>
      <c r="C640" s="2" t="s">
        <v>3</v>
      </c>
      <c r="D640" s="2"/>
      <c r="E640" s="48"/>
      <c r="F640" s="48"/>
      <c r="G640" s="48"/>
    </row>
    <row r="641" spans="1:7" x14ac:dyDescent="0.25">
      <c r="A641" s="2" t="s">
        <v>4</v>
      </c>
      <c r="B641" s="2"/>
      <c r="C641" s="2" t="s">
        <v>5</v>
      </c>
      <c r="D641" s="2" t="s">
        <v>6</v>
      </c>
      <c r="E641" s="2" t="s">
        <v>7</v>
      </c>
      <c r="F641" s="2" t="s">
        <v>8</v>
      </c>
      <c r="G641" s="2" t="s">
        <v>9</v>
      </c>
    </row>
    <row r="642" spans="1:7" x14ac:dyDescent="0.25">
      <c r="A642" s="4">
        <v>80</v>
      </c>
      <c r="B642" s="4" t="s">
        <v>73</v>
      </c>
      <c r="C642" s="4">
        <v>2026</v>
      </c>
      <c r="D642" s="4">
        <v>54501</v>
      </c>
      <c r="E642" s="8">
        <v>343371.7</v>
      </c>
      <c r="F642" s="8">
        <v>593371.69999999995</v>
      </c>
      <c r="G642" s="8">
        <f>E642-F642</f>
        <v>-249999.99999999994</v>
      </c>
    </row>
    <row r="643" spans="1:7" x14ac:dyDescent="0.25">
      <c r="A643" s="4">
        <v>80</v>
      </c>
      <c r="B643" s="4" t="s">
        <v>73</v>
      </c>
      <c r="C643" s="4">
        <v>2027</v>
      </c>
      <c r="D643" s="4">
        <v>54501</v>
      </c>
      <c r="E643" s="8">
        <v>348081.91999999998</v>
      </c>
      <c r="F643" s="8">
        <v>598081.91999999993</v>
      </c>
      <c r="G643" s="8">
        <f>E643-F643</f>
        <v>-249999.99999999994</v>
      </c>
    </row>
    <row r="644" spans="1:7" x14ac:dyDescent="0.25">
      <c r="A644" s="4">
        <v>80</v>
      </c>
      <c r="B644" s="4" t="s">
        <v>73</v>
      </c>
      <c r="C644" s="4">
        <v>2028</v>
      </c>
      <c r="D644" s="4">
        <v>54501</v>
      </c>
      <c r="E644" s="8">
        <v>352887.35</v>
      </c>
      <c r="F644" s="8">
        <v>602887.35</v>
      </c>
      <c r="G644" s="8">
        <f>E644-F644</f>
        <v>-250000</v>
      </c>
    </row>
    <row r="645" spans="1:7" x14ac:dyDescent="0.25">
      <c r="A645" s="4">
        <v>80</v>
      </c>
      <c r="B645" s="4" t="s">
        <v>73</v>
      </c>
      <c r="C645" s="4">
        <v>2029</v>
      </c>
      <c r="D645" s="4">
        <v>54501</v>
      </c>
      <c r="E645" s="8">
        <v>360239.67</v>
      </c>
      <c r="F645" s="8">
        <v>610239.66999999993</v>
      </c>
      <c r="G645" s="8">
        <f>E645-F645</f>
        <v>-249999.99999999994</v>
      </c>
    </row>
    <row r="646" spans="1:7" x14ac:dyDescent="0.25">
      <c r="A646" s="4">
        <v>80</v>
      </c>
      <c r="B646" s="4" t="s">
        <v>73</v>
      </c>
      <c r="C646" s="4">
        <v>2030</v>
      </c>
      <c r="D646" s="4">
        <v>54501</v>
      </c>
      <c r="E646" s="8">
        <v>360239.67</v>
      </c>
      <c r="F646" s="8">
        <v>610239.66999999993</v>
      </c>
      <c r="G646" s="8">
        <f>E646-F646</f>
        <v>-249999.99999999994</v>
      </c>
    </row>
    <row r="647" spans="1:7" x14ac:dyDescent="0.25">
      <c r="E647" s="49" t="s">
        <v>13</v>
      </c>
      <c r="F647" s="49"/>
      <c r="G647" s="9">
        <f>SUM(G642:G646)</f>
        <v>-1249999.9999999998</v>
      </c>
    </row>
    <row r="649" spans="1:7" x14ac:dyDescent="0.25">
      <c r="A649" s="1" t="s">
        <v>77</v>
      </c>
    </row>
    <row r="650" spans="1:7" x14ac:dyDescent="0.25">
      <c r="A650" s="2" t="s">
        <v>2</v>
      </c>
      <c r="B650" s="2"/>
      <c r="C650" s="2" t="s">
        <v>3</v>
      </c>
      <c r="D650" s="2"/>
      <c r="E650" s="48"/>
      <c r="F650" s="48"/>
      <c r="G650" s="48"/>
    </row>
    <row r="651" spans="1:7" x14ac:dyDescent="0.25">
      <c r="A651" s="2" t="s">
        <v>4</v>
      </c>
      <c r="B651" s="2"/>
      <c r="C651" s="2" t="s">
        <v>5</v>
      </c>
      <c r="D651" s="2" t="s">
        <v>6</v>
      </c>
      <c r="E651" s="2" t="s">
        <v>7</v>
      </c>
      <c r="F651" s="2" t="s">
        <v>8</v>
      </c>
      <c r="G651" s="2" t="s">
        <v>9</v>
      </c>
    </row>
    <row r="652" spans="1:7" x14ac:dyDescent="0.25">
      <c r="A652" s="4">
        <v>80</v>
      </c>
      <c r="B652" s="4" t="s">
        <v>73</v>
      </c>
      <c r="C652" s="4">
        <v>2026</v>
      </c>
      <c r="D652" s="4">
        <v>51101</v>
      </c>
      <c r="E652" s="16">
        <v>139651</v>
      </c>
      <c r="F652" s="16">
        <v>120827</v>
      </c>
      <c r="G652" s="8">
        <f t="shared" ref="G652:G671" si="18">E652-F652</f>
        <v>18824</v>
      </c>
    </row>
    <row r="653" spans="1:7" x14ac:dyDescent="0.25">
      <c r="A653" s="4">
        <v>80</v>
      </c>
      <c r="B653" s="4" t="s">
        <v>73</v>
      </c>
      <c r="C653" s="4">
        <v>2026</v>
      </c>
      <c r="D653" s="4">
        <v>52102</v>
      </c>
      <c r="E653" s="16">
        <v>29024</v>
      </c>
      <c r="F653" s="16">
        <v>9679</v>
      </c>
      <c r="G653" s="8">
        <f t="shared" si="18"/>
        <v>19345</v>
      </c>
    </row>
    <row r="654" spans="1:7" x14ac:dyDescent="0.25">
      <c r="A654" s="4">
        <v>80</v>
      </c>
      <c r="B654" s="4" t="s">
        <v>73</v>
      </c>
      <c r="C654" s="4">
        <v>2026</v>
      </c>
      <c r="D654" s="4">
        <v>52111</v>
      </c>
      <c r="E654" s="16">
        <v>2266</v>
      </c>
      <c r="F654" s="16">
        <v>1959</v>
      </c>
      <c r="G654" s="8">
        <f t="shared" si="18"/>
        <v>307</v>
      </c>
    </row>
    <row r="655" spans="1:7" x14ac:dyDescent="0.25">
      <c r="A655" s="4">
        <v>80</v>
      </c>
      <c r="B655" s="4" t="s">
        <v>73</v>
      </c>
      <c r="C655" s="4">
        <v>2026</v>
      </c>
      <c r="D655" s="4">
        <v>52201</v>
      </c>
      <c r="E655" s="16">
        <v>10683</v>
      </c>
      <c r="F655" s="16">
        <v>9243</v>
      </c>
      <c r="G655" s="8">
        <f t="shared" si="18"/>
        <v>1440</v>
      </c>
    </row>
    <row r="656" spans="1:7" x14ac:dyDescent="0.25">
      <c r="A656" s="4">
        <v>80</v>
      </c>
      <c r="B656" s="4" t="s">
        <v>73</v>
      </c>
      <c r="C656" s="4">
        <v>2027</v>
      </c>
      <c r="D656" s="4">
        <v>51101</v>
      </c>
      <c r="E656" s="16">
        <v>141045</v>
      </c>
      <c r="F656" s="16">
        <v>122034</v>
      </c>
      <c r="G656" s="8">
        <f t="shared" si="18"/>
        <v>19011</v>
      </c>
    </row>
    <row r="657" spans="1:7" x14ac:dyDescent="0.25">
      <c r="A657" s="4">
        <v>80</v>
      </c>
      <c r="B657" s="4" t="s">
        <v>73</v>
      </c>
      <c r="C657" s="4">
        <v>2027</v>
      </c>
      <c r="D657" s="4">
        <v>52102</v>
      </c>
      <c r="E657" s="16">
        <v>29911</v>
      </c>
      <c r="F657" s="16">
        <v>9975</v>
      </c>
      <c r="G657" s="8">
        <f t="shared" si="18"/>
        <v>19936</v>
      </c>
    </row>
    <row r="658" spans="1:7" x14ac:dyDescent="0.25">
      <c r="A658" s="4">
        <v>80</v>
      </c>
      <c r="B658" s="4" t="s">
        <v>73</v>
      </c>
      <c r="C658" s="4">
        <v>2027</v>
      </c>
      <c r="D658" s="4">
        <v>52111</v>
      </c>
      <c r="E658" s="16">
        <v>2288</v>
      </c>
      <c r="F658" s="16">
        <v>1980</v>
      </c>
      <c r="G658" s="8">
        <f t="shared" si="18"/>
        <v>308</v>
      </c>
    </row>
    <row r="659" spans="1:7" x14ac:dyDescent="0.25">
      <c r="A659" s="4">
        <v>80</v>
      </c>
      <c r="B659" s="4" t="s">
        <v>73</v>
      </c>
      <c r="C659" s="4">
        <v>2027</v>
      </c>
      <c r="D659" s="4">
        <v>52201</v>
      </c>
      <c r="E659" s="16">
        <v>10790</v>
      </c>
      <c r="F659" s="16">
        <v>9335</v>
      </c>
      <c r="G659" s="8">
        <f t="shared" si="18"/>
        <v>1455</v>
      </c>
    </row>
    <row r="660" spans="1:7" x14ac:dyDescent="0.25">
      <c r="A660" s="4">
        <v>80</v>
      </c>
      <c r="B660" s="4" t="s">
        <v>73</v>
      </c>
      <c r="C660" s="4">
        <v>2028</v>
      </c>
      <c r="D660" s="4">
        <v>51101</v>
      </c>
      <c r="E660" s="16">
        <v>142459</v>
      </c>
      <c r="F660" s="16">
        <v>123261</v>
      </c>
      <c r="G660" s="8">
        <f t="shared" si="18"/>
        <v>19198</v>
      </c>
    </row>
    <row r="661" spans="1:7" x14ac:dyDescent="0.25">
      <c r="A661" s="4">
        <v>80</v>
      </c>
      <c r="B661" s="4" t="s">
        <v>73</v>
      </c>
      <c r="C661" s="4">
        <v>2028</v>
      </c>
      <c r="D661" s="4">
        <v>52102</v>
      </c>
      <c r="E661" s="16">
        <v>30827</v>
      </c>
      <c r="F661" s="16">
        <v>10280</v>
      </c>
      <c r="G661" s="8">
        <f t="shared" si="18"/>
        <v>20547</v>
      </c>
    </row>
    <row r="662" spans="1:7" x14ac:dyDescent="0.25">
      <c r="A662" s="4">
        <v>80</v>
      </c>
      <c r="B662" s="4" t="s">
        <v>73</v>
      </c>
      <c r="C662" s="4">
        <v>2028</v>
      </c>
      <c r="D662" s="4">
        <v>52111</v>
      </c>
      <c r="E662" s="16">
        <v>2311</v>
      </c>
      <c r="F662" s="16">
        <v>1999</v>
      </c>
      <c r="G662" s="8">
        <f t="shared" si="18"/>
        <v>312</v>
      </c>
    </row>
    <row r="663" spans="1:7" x14ac:dyDescent="0.25">
      <c r="A663" s="4">
        <v>80</v>
      </c>
      <c r="B663" s="4" t="s">
        <v>73</v>
      </c>
      <c r="C663" s="4">
        <v>2028</v>
      </c>
      <c r="D663" s="4">
        <v>52201</v>
      </c>
      <c r="E663" s="16">
        <v>10898</v>
      </c>
      <c r="F663" s="16">
        <v>9429</v>
      </c>
      <c r="G663" s="8">
        <f t="shared" si="18"/>
        <v>1469</v>
      </c>
    </row>
    <row r="664" spans="1:7" x14ac:dyDescent="0.25">
      <c r="A664" s="4">
        <v>80</v>
      </c>
      <c r="B664" s="4" t="s">
        <v>73</v>
      </c>
      <c r="C664" s="4">
        <v>2029</v>
      </c>
      <c r="D664" s="4">
        <v>51101</v>
      </c>
      <c r="E664" s="16">
        <v>143874</v>
      </c>
      <c r="F664" s="16">
        <v>124488</v>
      </c>
      <c r="G664" s="8">
        <f t="shared" si="18"/>
        <v>19386</v>
      </c>
    </row>
    <row r="665" spans="1:7" x14ac:dyDescent="0.25">
      <c r="A665" s="4">
        <v>80</v>
      </c>
      <c r="B665" s="4" t="s">
        <v>73</v>
      </c>
      <c r="C665" s="4">
        <v>2029</v>
      </c>
      <c r="D665" s="4">
        <v>52102</v>
      </c>
      <c r="E665" s="16">
        <v>31768</v>
      </c>
      <c r="F665" s="16">
        <v>10594</v>
      </c>
      <c r="G665" s="8">
        <f t="shared" si="18"/>
        <v>21174</v>
      </c>
    </row>
    <row r="666" spans="1:7" x14ac:dyDescent="0.25">
      <c r="A666" s="4">
        <v>80</v>
      </c>
      <c r="B666" s="4" t="s">
        <v>73</v>
      </c>
      <c r="C666" s="4">
        <v>2029</v>
      </c>
      <c r="D666" s="4">
        <v>52111</v>
      </c>
      <c r="E666" s="16">
        <v>2334</v>
      </c>
      <c r="F666" s="16">
        <v>2020</v>
      </c>
      <c r="G666" s="8">
        <f t="shared" si="18"/>
        <v>314</v>
      </c>
    </row>
    <row r="667" spans="1:7" x14ac:dyDescent="0.25">
      <c r="A667" s="4">
        <v>80</v>
      </c>
      <c r="B667" s="4" t="s">
        <v>73</v>
      </c>
      <c r="C667" s="4">
        <v>2029</v>
      </c>
      <c r="D667" s="4">
        <v>52201</v>
      </c>
      <c r="E667" s="16">
        <v>11006</v>
      </c>
      <c r="F667" s="16">
        <v>9523</v>
      </c>
      <c r="G667" s="8">
        <f t="shared" si="18"/>
        <v>1483</v>
      </c>
    </row>
    <row r="668" spans="1:7" x14ac:dyDescent="0.25">
      <c r="A668" s="4">
        <v>80</v>
      </c>
      <c r="B668" s="4" t="s">
        <v>73</v>
      </c>
      <c r="C668" s="4">
        <v>2030</v>
      </c>
      <c r="D668" s="4">
        <v>51101</v>
      </c>
      <c r="E668" s="16">
        <v>145330</v>
      </c>
      <c r="F668" s="16">
        <v>125736</v>
      </c>
      <c r="G668" s="8">
        <f t="shared" si="18"/>
        <v>19594</v>
      </c>
    </row>
    <row r="669" spans="1:7" x14ac:dyDescent="0.25">
      <c r="A669" s="4">
        <v>80</v>
      </c>
      <c r="B669" s="4" t="s">
        <v>73</v>
      </c>
      <c r="C669" s="4">
        <v>2030</v>
      </c>
      <c r="D669" s="4">
        <v>52102</v>
      </c>
      <c r="E669" s="16">
        <v>32741</v>
      </c>
      <c r="F669" s="16">
        <v>10918</v>
      </c>
      <c r="G669" s="8">
        <f t="shared" si="18"/>
        <v>21823</v>
      </c>
    </row>
    <row r="670" spans="1:7" x14ac:dyDescent="0.25">
      <c r="A670" s="4">
        <v>80</v>
      </c>
      <c r="B670" s="4" t="s">
        <v>73</v>
      </c>
      <c r="C670" s="4">
        <v>2030</v>
      </c>
      <c r="D670" s="4">
        <v>52111</v>
      </c>
      <c r="E670" s="16">
        <v>2357</v>
      </c>
      <c r="F670" s="16">
        <v>2040</v>
      </c>
      <c r="G670" s="8">
        <f t="shared" si="18"/>
        <v>317</v>
      </c>
    </row>
    <row r="671" spans="1:7" x14ac:dyDescent="0.25">
      <c r="A671" s="4">
        <v>80</v>
      </c>
      <c r="B671" s="4" t="s">
        <v>73</v>
      </c>
      <c r="C671" s="4">
        <v>2030</v>
      </c>
      <c r="D671" s="4">
        <v>52201</v>
      </c>
      <c r="E671" s="16">
        <v>11117</v>
      </c>
      <c r="F671" s="16">
        <v>9619</v>
      </c>
      <c r="G671" s="8">
        <f t="shared" si="18"/>
        <v>1498</v>
      </c>
    </row>
    <row r="672" spans="1:7" x14ac:dyDescent="0.25">
      <c r="E672" s="49" t="s">
        <v>13</v>
      </c>
      <c r="F672" s="49"/>
      <c r="G672" s="9">
        <f>SUM(G652:G671)</f>
        <v>207741</v>
      </c>
    </row>
    <row r="674" spans="1:7" x14ac:dyDescent="0.25">
      <c r="A674" s="1" t="s">
        <v>78</v>
      </c>
    </row>
    <row r="675" spans="1:7" x14ac:dyDescent="0.25">
      <c r="A675" s="2" t="s">
        <v>2</v>
      </c>
      <c r="B675" s="2"/>
      <c r="C675" s="2" t="s">
        <v>3</v>
      </c>
      <c r="D675" s="2"/>
      <c r="E675" s="48"/>
      <c r="F675" s="48"/>
      <c r="G675" s="48"/>
    </row>
    <row r="676" spans="1:7" x14ac:dyDescent="0.25">
      <c r="A676" s="2" t="s">
        <v>4</v>
      </c>
      <c r="B676" s="2"/>
      <c r="C676" s="2" t="s">
        <v>5</v>
      </c>
      <c r="D676" s="2" t="s">
        <v>6</v>
      </c>
      <c r="E676" s="2" t="s">
        <v>7</v>
      </c>
      <c r="F676" s="2" t="s">
        <v>8</v>
      </c>
      <c r="G676" s="2" t="s">
        <v>9</v>
      </c>
    </row>
    <row r="677" spans="1:7" x14ac:dyDescent="0.25">
      <c r="A677" s="4">
        <v>80</v>
      </c>
      <c r="B677" s="4" t="s">
        <v>73</v>
      </c>
      <c r="C677" s="4">
        <v>2026</v>
      </c>
      <c r="D677" s="4">
        <v>51101</v>
      </c>
      <c r="E677" s="16">
        <v>133827</v>
      </c>
      <c r="F677" s="16">
        <v>133827</v>
      </c>
      <c r="G677" s="8">
        <f t="shared" ref="G677:G696" si="19">E677-F677</f>
        <v>0</v>
      </c>
    </row>
    <row r="678" spans="1:7" x14ac:dyDescent="0.25">
      <c r="A678" s="4">
        <v>80</v>
      </c>
      <c r="B678" s="4" t="s">
        <v>73</v>
      </c>
      <c r="C678" s="4">
        <v>2026</v>
      </c>
      <c r="D678" s="4">
        <v>52102</v>
      </c>
      <c r="E678" s="16">
        <v>9679</v>
      </c>
      <c r="F678" s="16">
        <v>9679</v>
      </c>
      <c r="G678" s="8">
        <f t="shared" si="19"/>
        <v>0</v>
      </c>
    </row>
    <row r="679" spans="1:7" x14ac:dyDescent="0.25">
      <c r="A679" s="4">
        <v>80</v>
      </c>
      <c r="B679" s="4" t="s">
        <v>73</v>
      </c>
      <c r="C679" s="4">
        <v>2026</v>
      </c>
      <c r="D679" s="4">
        <v>52111</v>
      </c>
      <c r="E679" s="16">
        <v>2171</v>
      </c>
      <c r="F679" s="16">
        <v>2171</v>
      </c>
      <c r="G679" s="8">
        <f t="shared" si="19"/>
        <v>0</v>
      </c>
    </row>
    <row r="680" spans="1:7" x14ac:dyDescent="0.25">
      <c r="A680" s="4">
        <v>80</v>
      </c>
      <c r="B680" s="4" t="s">
        <v>73</v>
      </c>
      <c r="C680" s="4">
        <v>2026</v>
      </c>
      <c r="D680" s="4">
        <v>52201</v>
      </c>
      <c r="E680" s="16">
        <v>10237</v>
      </c>
      <c r="F680" s="16">
        <v>10237</v>
      </c>
      <c r="G680" s="8">
        <f t="shared" si="19"/>
        <v>0</v>
      </c>
    </row>
    <row r="681" spans="1:7" x14ac:dyDescent="0.25">
      <c r="A681" s="4">
        <v>80</v>
      </c>
      <c r="B681" s="4" t="s">
        <v>73</v>
      </c>
      <c r="C681" s="4">
        <v>2027</v>
      </c>
      <c r="D681" s="4">
        <v>51101</v>
      </c>
      <c r="E681" s="16">
        <v>135158</v>
      </c>
      <c r="F681" s="16">
        <v>135158</v>
      </c>
      <c r="G681" s="8">
        <f t="shared" si="19"/>
        <v>0</v>
      </c>
    </row>
    <row r="682" spans="1:7" x14ac:dyDescent="0.25">
      <c r="A682" s="4">
        <v>80</v>
      </c>
      <c r="B682" s="4" t="s">
        <v>73</v>
      </c>
      <c r="C682" s="4">
        <v>2027</v>
      </c>
      <c r="D682" s="4">
        <v>52102</v>
      </c>
      <c r="E682" s="16">
        <v>9975</v>
      </c>
      <c r="F682" s="16">
        <v>9975</v>
      </c>
      <c r="G682" s="8">
        <f t="shared" si="19"/>
        <v>0</v>
      </c>
    </row>
    <row r="683" spans="1:7" x14ac:dyDescent="0.25">
      <c r="A683" s="4">
        <v>80</v>
      </c>
      <c r="B683" s="4" t="s">
        <v>73</v>
      </c>
      <c r="C683" s="4">
        <v>2027</v>
      </c>
      <c r="D683" s="4">
        <v>52111</v>
      </c>
      <c r="E683" s="16">
        <v>2194</v>
      </c>
      <c r="F683" s="16">
        <v>2194</v>
      </c>
      <c r="G683" s="8">
        <f t="shared" si="19"/>
        <v>0</v>
      </c>
    </row>
    <row r="684" spans="1:7" x14ac:dyDescent="0.25">
      <c r="A684" s="4">
        <v>80</v>
      </c>
      <c r="B684" s="4" t="s">
        <v>73</v>
      </c>
      <c r="C684" s="4">
        <v>2027</v>
      </c>
      <c r="D684" s="4">
        <v>52201</v>
      </c>
      <c r="E684" s="16">
        <v>10340</v>
      </c>
      <c r="F684" s="16">
        <v>10340</v>
      </c>
      <c r="G684" s="8">
        <f t="shared" si="19"/>
        <v>0</v>
      </c>
    </row>
    <row r="685" spans="1:7" x14ac:dyDescent="0.25">
      <c r="A685" s="4">
        <v>80</v>
      </c>
      <c r="B685" s="4" t="s">
        <v>73</v>
      </c>
      <c r="C685" s="4">
        <v>2028</v>
      </c>
      <c r="D685" s="4">
        <v>51101</v>
      </c>
      <c r="E685" s="16">
        <v>136510</v>
      </c>
      <c r="F685" s="16">
        <v>136510</v>
      </c>
      <c r="G685" s="8">
        <f t="shared" si="19"/>
        <v>0</v>
      </c>
    </row>
    <row r="686" spans="1:7" x14ac:dyDescent="0.25">
      <c r="A686" s="4">
        <v>80</v>
      </c>
      <c r="B686" s="4" t="s">
        <v>73</v>
      </c>
      <c r="C686" s="4">
        <v>2028</v>
      </c>
      <c r="D686" s="4">
        <v>52102</v>
      </c>
      <c r="E686" s="16">
        <v>10280</v>
      </c>
      <c r="F686" s="16">
        <v>10280</v>
      </c>
      <c r="G686" s="8">
        <f t="shared" si="19"/>
        <v>0</v>
      </c>
    </row>
    <row r="687" spans="1:7" x14ac:dyDescent="0.25">
      <c r="A687" s="4">
        <v>80</v>
      </c>
      <c r="B687" s="4" t="s">
        <v>73</v>
      </c>
      <c r="C687" s="4">
        <v>2028</v>
      </c>
      <c r="D687" s="4">
        <v>52111</v>
      </c>
      <c r="E687" s="16">
        <v>2215</v>
      </c>
      <c r="F687" s="16">
        <v>2215</v>
      </c>
      <c r="G687" s="8">
        <f t="shared" si="19"/>
        <v>0</v>
      </c>
    </row>
    <row r="688" spans="1:7" x14ac:dyDescent="0.25">
      <c r="A688" s="4">
        <v>80</v>
      </c>
      <c r="B688" s="4" t="s">
        <v>73</v>
      </c>
      <c r="C688" s="4">
        <v>2028</v>
      </c>
      <c r="D688" s="4">
        <v>52201</v>
      </c>
      <c r="E688" s="16">
        <v>10443</v>
      </c>
      <c r="F688" s="16">
        <v>10443</v>
      </c>
      <c r="G688" s="8">
        <f t="shared" si="19"/>
        <v>0</v>
      </c>
    </row>
    <row r="689" spans="1:7" x14ac:dyDescent="0.25">
      <c r="A689" s="4">
        <v>80</v>
      </c>
      <c r="B689" s="4" t="s">
        <v>73</v>
      </c>
      <c r="C689" s="4">
        <v>2029</v>
      </c>
      <c r="D689" s="4">
        <v>51101</v>
      </c>
      <c r="E689" s="16">
        <v>137883</v>
      </c>
      <c r="F689" s="16">
        <v>137883</v>
      </c>
      <c r="G689" s="8">
        <f t="shared" si="19"/>
        <v>0</v>
      </c>
    </row>
    <row r="690" spans="1:7" x14ac:dyDescent="0.25">
      <c r="A690" s="4">
        <v>80</v>
      </c>
      <c r="B690" s="4" t="s">
        <v>73</v>
      </c>
      <c r="C690" s="4">
        <v>2029</v>
      </c>
      <c r="D690" s="4">
        <v>52102</v>
      </c>
      <c r="E690" s="16">
        <v>10594</v>
      </c>
      <c r="F690" s="16">
        <v>10594</v>
      </c>
      <c r="G690" s="8">
        <f t="shared" si="19"/>
        <v>0</v>
      </c>
    </row>
    <row r="691" spans="1:7" x14ac:dyDescent="0.25">
      <c r="A691" s="4">
        <v>80</v>
      </c>
      <c r="B691" s="4" t="s">
        <v>73</v>
      </c>
      <c r="C691" s="4">
        <v>2029</v>
      </c>
      <c r="D691" s="4">
        <v>52111</v>
      </c>
      <c r="E691" s="16">
        <v>2238</v>
      </c>
      <c r="F691" s="16">
        <v>2238</v>
      </c>
      <c r="G691" s="8">
        <f t="shared" si="19"/>
        <v>0</v>
      </c>
    </row>
    <row r="692" spans="1:7" x14ac:dyDescent="0.25">
      <c r="A692" s="4">
        <v>80</v>
      </c>
      <c r="B692" s="4" t="s">
        <v>73</v>
      </c>
      <c r="C692" s="4">
        <v>2029</v>
      </c>
      <c r="D692" s="4">
        <v>52201</v>
      </c>
      <c r="E692" s="16">
        <v>10548</v>
      </c>
      <c r="F692" s="16">
        <v>10548</v>
      </c>
      <c r="G692" s="8">
        <f t="shared" si="19"/>
        <v>0</v>
      </c>
    </row>
    <row r="693" spans="1:7" x14ac:dyDescent="0.25">
      <c r="A693" s="4">
        <v>80</v>
      </c>
      <c r="B693" s="4" t="s">
        <v>73</v>
      </c>
      <c r="C693" s="4">
        <v>2030</v>
      </c>
      <c r="D693" s="4">
        <v>51101</v>
      </c>
      <c r="E693" s="16">
        <v>139256</v>
      </c>
      <c r="F693" s="16">
        <v>139256</v>
      </c>
      <c r="G693" s="8">
        <f t="shared" si="19"/>
        <v>0</v>
      </c>
    </row>
    <row r="694" spans="1:7" x14ac:dyDescent="0.25">
      <c r="A694" s="4">
        <v>80</v>
      </c>
      <c r="B694" s="4" t="s">
        <v>73</v>
      </c>
      <c r="C694" s="4">
        <v>2030</v>
      </c>
      <c r="D694" s="4">
        <v>52102</v>
      </c>
      <c r="E694" s="16">
        <v>10918</v>
      </c>
      <c r="F694" s="16">
        <v>10918</v>
      </c>
      <c r="G694" s="8">
        <f t="shared" si="19"/>
        <v>0</v>
      </c>
    </row>
    <row r="695" spans="1:7" x14ac:dyDescent="0.25">
      <c r="A695" s="4">
        <v>80</v>
      </c>
      <c r="B695" s="4" t="s">
        <v>73</v>
      </c>
      <c r="C695" s="4">
        <v>2030</v>
      </c>
      <c r="D695" s="4">
        <v>52111</v>
      </c>
      <c r="E695" s="16">
        <v>2259</v>
      </c>
      <c r="F695" s="16">
        <v>2259</v>
      </c>
      <c r="G695" s="8">
        <f t="shared" si="19"/>
        <v>0</v>
      </c>
    </row>
    <row r="696" spans="1:7" x14ac:dyDescent="0.25">
      <c r="A696" s="4">
        <v>80</v>
      </c>
      <c r="B696" s="4" t="s">
        <v>73</v>
      </c>
      <c r="C696" s="4">
        <v>2030</v>
      </c>
      <c r="D696" s="4">
        <v>52201</v>
      </c>
      <c r="E696" s="16">
        <v>10653</v>
      </c>
      <c r="F696" s="16">
        <v>10653</v>
      </c>
      <c r="G696" s="8">
        <f t="shared" si="19"/>
        <v>0</v>
      </c>
    </row>
    <row r="697" spans="1:7" x14ac:dyDescent="0.25">
      <c r="E697" s="49" t="s">
        <v>13</v>
      </c>
      <c r="F697" s="49"/>
      <c r="G697" s="9">
        <f>SUM(G677:G680)</f>
        <v>0</v>
      </c>
    </row>
    <row r="699" spans="1:7" x14ac:dyDescent="0.25">
      <c r="A699" s="1" t="s">
        <v>79</v>
      </c>
    </row>
    <row r="700" spans="1:7" x14ac:dyDescent="0.25">
      <c r="A700" s="2" t="s">
        <v>2</v>
      </c>
      <c r="B700" s="2"/>
      <c r="C700" s="2" t="s">
        <v>3</v>
      </c>
      <c r="D700" s="2"/>
      <c r="E700" s="48"/>
      <c r="F700" s="48"/>
      <c r="G700" s="48"/>
    </row>
    <row r="701" spans="1:7" x14ac:dyDescent="0.25">
      <c r="A701" s="2" t="s">
        <v>4</v>
      </c>
      <c r="B701" s="2"/>
      <c r="C701" s="2" t="s">
        <v>5</v>
      </c>
      <c r="D701" s="2" t="s">
        <v>6</v>
      </c>
      <c r="E701" s="2" t="s">
        <v>7</v>
      </c>
      <c r="F701" s="2" t="s">
        <v>8</v>
      </c>
      <c r="G701" s="2" t="s">
        <v>9</v>
      </c>
    </row>
    <row r="702" spans="1:7" x14ac:dyDescent="0.25">
      <c r="A702" s="4">
        <v>80</v>
      </c>
      <c r="B702" s="4" t="s">
        <v>73</v>
      </c>
      <c r="C702" s="4">
        <v>2026</v>
      </c>
      <c r="D702" s="4">
        <v>56201</v>
      </c>
      <c r="E702" s="8">
        <v>3044325</v>
      </c>
      <c r="F702" s="8">
        <v>3594325</v>
      </c>
      <c r="G702" s="8">
        <f>E702-F702</f>
        <v>-550000</v>
      </c>
    </row>
    <row r="703" spans="1:7" x14ac:dyDescent="0.25">
      <c r="E703" s="49" t="s">
        <v>13</v>
      </c>
      <c r="F703" s="49"/>
      <c r="G703" s="9">
        <f>SUM(G702:G702)</f>
        <v>-550000</v>
      </c>
    </row>
    <row r="705" spans="1:7" x14ac:dyDescent="0.25">
      <c r="A705" s="1" t="s">
        <v>80</v>
      </c>
    </row>
    <row r="706" spans="1:7" x14ac:dyDescent="0.25">
      <c r="A706" s="2" t="s">
        <v>2</v>
      </c>
      <c r="B706" s="2"/>
      <c r="C706" s="2" t="s">
        <v>3</v>
      </c>
      <c r="D706" s="2"/>
      <c r="E706" s="48"/>
      <c r="F706" s="48"/>
      <c r="G706" s="48"/>
    </row>
    <row r="707" spans="1:7" x14ac:dyDescent="0.25">
      <c r="A707" s="2" t="s">
        <v>4</v>
      </c>
      <c r="B707" s="2"/>
      <c r="C707" s="2" t="s">
        <v>5</v>
      </c>
      <c r="D707" s="2" t="s">
        <v>6</v>
      </c>
      <c r="E707" s="2" t="s">
        <v>7</v>
      </c>
      <c r="F707" s="2" t="s">
        <v>8</v>
      </c>
      <c r="G707" s="2" t="s">
        <v>9</v>
      </c>
    </row>
    <row r="708" spans="1:7" x14ac:dyDescent="0.25">
      <c r="A708" s="4">
        <v>80</v>
      </c>
      <c r="B708" s="4" t="s">
        <v>73</v>
      </c>
      <c r="C708" s="4">
        <v>2026</v>
      </c>
      <c r="D708" s="4">
        <v>56501</v>
      </c>
      <c r="E708" s="8">
        <v>3873774</v>
      </c>
      <c r="F708" s="8">
        <v>5873774</v>
      </c>
      <c r="G708" s="8">
        <f>E708-F708</f>
        <v>-2000000</v>
      </c>
    </row>
    <row r="709" spans="1:7" x14ac:dyDescent="0.25">
      <c r="E709" s="49" t="s">
        <v>13</v>
      </c>
      <c r="F709" s="49"/>
      <c r="G709" s="9">
        <f>SUM(G708:G708)</f>
        <v>-2000000</v>
      </c>
    </row>
    <row r="711" spans="1:7" x14ac:dyDescent="0.25">
      <c r="A711" s="1" t="s">
        <v>81</v>
      </c>
    </row>
    <row r="712" spans="1:7" x14ac:dyDescent="0.25">
      <c r="A712" s="2" t="s">
        <v>2</v>
      </c>
      <c r="B712" s="2"/>
      <c r="C712" s="2" t="s">
        <v>3</v>
      </c>
      <c r="D712" s="2"/>
      <c r="E712" s="48"/>
      <c r="F712" s="48"/>
      <c r="G712" s="48"/>
    </row>
    <row r="713" spans="1:7" x14ac:dyDescent="0.25">
      <c r="A713" s="2" t="s">
        <v>4</v>
      </c>
      <c r="B713" s="2"/>
      <c r="C713" s="2" t="s">
        <v>5</v>
      </c>
      <c r="D713" s="2" t="s">
        <v>6</v>
      </c>
      <c r="E713" s="2" t="s">
        <v>7</v>
      </c>
      <c r="F713" s="2" t="s">
        <v>8</v>
      </c>
      <c r="G713" s="2" t="s">
        <v>9</v>
      </c>
    </row>
    <row r="714" spans="1:7" x14ac:dyDescent="0.25">
      <c r="A714" s="4">
        <v>234</v>
      </c>
      <c r="B714" s="4" t="s">
        <v>82</v>
      </c>
      <c r="C714" s="4">
        <v>2026</v>
      </c>
      <c r="D714" s="4">
        <v>54201</v>
      </c>
      <c r="E714" s="8">
        <v>0</v>
      </c>
      <c r="F714" s="8">
        <v>184000</v>
      </c>
      <c r="G714" s="8">
        <f>E714-F714</f>
        <v>-184000</v>
      </c>
    </row>
    <row r="715" spans="1:7" x14ac:dyDescent="0.25">
      <c r="A715" s="4">
        <v>234</v>
      </c>
      <c r="B715" s="4" t="s">
        <v>82</v>
      </c>
      <c r="C715" s="4">
        <v>2027</v>
      </c>
      <c r="D715" s="4">
        <v>54201</v>
      </c>
      <c r="E715" s="8">
        <v>0</v>
      </c>
      <c r="F715" s="8">
        <v>184000</v>
      </c>
      <c r="G715" s="8">
        <f>E715-F715</f>
        <v>-184000</v>
      </c>
    </row>
    <row r="716" spans="1:7" x14ac:dyDescent="0.25">
      <c r="A716" s="4">
        <v>234</v>
      </c>
      <c r="B716" s="4" t="s">
        <v>82</v>
      </c>
      <c r="C716" s="4">
        <v>2028</v>
      </c>
      <c r="D716" s="4">
        <v>54201</v>
      </c>
      <c r="E716" s="8">
        <v>0</v>
      </c>
      <c r="F716" s="8">
        <v>184000</v>
      </c>
      <c r="G716" s="8">
        <f>E716-F716</f>
        <v>-184000</v>
      </c>
    </row>
    <row r="717" spans="1:7" x14ac:dyDescent="0.25">
      <c r="A717" s="4">
        <v>234</v>
      </c>
      <c r="B717" s="4" t="s">
        <v>82</v>
      </c>
      <c r="C717" s="4">
        <v>2029</v>
      </c>
      <c r="D717" s="4">
        <v>54201</v>
      </c>
      <c r="E717" s="8">
        <v>0</v>
      </c>
      <c r="F717" s="8">
        <v>184000</v>
      </c>
      <c r="G717" s="8">
        <f>E717-F717</f>
        <v>-184000</v>
      </c>
    </row>
    <row r="718" spans="1:7" x14ac:dyDescent="0.25">
      <c r="A718" s="4">
        <v>234</v>
      </c>
      <c r="B718" s="4" t="s">
        <v>82</v>
      </c>
      <c r="C718" s="4">
        <v>2030</v>
      </c>
      <c r="D718" s="4">
        <v>54201</v>
      </c>
      <c r="E718" s="8">
        <v>0</v>
      </c>
      <c r="F718" s="8">
        <v>184000</v>
      </c>
      <c r="G718" s="8">
        <f>E718-F718</f>
        <v>-184000</v>
      </c>
    </row>
    <row r="719" spans="1:7" x14ac:dyDescent="0.25">
      <c r="E719" s="49" t="s">
        <v>13</v>
      </c>
      <c r="F719" s="49"/>
      <c r="G719" s="9">
        <f>SUM(G714:G718)</f>
        <v>-920000</v>
      </c>
    </row>
    <row r="721" spans="1:7" x14ac:dyDescent="0.25">
      <c r="A721" s="1" t="s">
        <v>83</v>
      </c>
    </row>
    <row r="722" spans="1:7" x14ac:dyDescent="0.25">
      <c r="A722" s="2" t="s">
        <v>2</v>
      </c>
      <c r="B722" s="2"/>
      <c r="C722" s="2" t="s">
        <v>3</v>
      </c>
      <c r="D722" s="2"/>
      <c r="E722" s="48"/>
      <c r="F722" s="48"/>
      <c r="G722" s="48"/>
    </row>
    <row r="723" spans="1:7" x14ac:dyDescent="0.25">
      <c r="A723" s="2" t="s">
        <v>4</v>
      </c>
      <c r="B723" s="2"/>
      <c r="C723" s="2" t="s">
        <v>5</v>
      </c>
      <c r="D723" s="2" t="s">
        <v>6</v>
      </c>
      <c r="E723" s="2" t="s">
        <v>7</v>
      </c>
      <c r="F723" s="2" t="s">
        <v>8</v>
      </c>
      <c r="G723" s="2" t="s">
        <v>9</v>
      </c>
    </row>
    <row r="724" spans="1:7" x14ac:dyDescent="0.25">
      <c r="A724" s="4">
        <v>234</v>
      </c>
      <c r="B724" s="4" t="s">
        <v>82</v>
      </c>
      <c r="C724" s="4">
        <v>2026</v>
      </c>
      <c r="D724" s="4">
        <v>51103</v>
      </c>
      <c r="E724" s="8">
        <v>1510904</v>
      </c>
      <c r="F724" s="8">
        <v>1630901</v>
      </c>
      <c r="G724" s="8">
        <f>E724-F724</f>
        <v>-119997</v>
      </c>
    </row>
    <row r="725" spans="1:7" x14ac:dyDescent="0.25">
      <c r="A725" s="4">
        <v>234</v>
      </c>
      <c r="B725" s="4" t="s">
        <v>82</v>
      </c>
      <c r="C725" s="4">
        <v>2026</v>
      </c>
      <c r="D725" s="4">
        <v>52201</v>
      </c>
      <c r="E725" s="8">
        <v>371479</v>
      </c>
      <c r="F725" s="8">
        <v>380659</v>
      </c>
      <c r="G725" s="8">
        <f t="shared" ref="G725:G733" si="20">E725-F725</f>
        <v>-9180</v>
      </c>
    </row>
    <row r="726" spans="1:7" x14ac:dyDescent="0.25">
      <c r="A726" s="4">
        <v>234</v>
      </c>
      <c r="B726" s="4" t="s">
        <v>82</v>
      </c>
      <c r="C726" s="4">
        <v>2027</v>
      </c>
      <c r="D726" s="4">
        <v>51103</v>
      </c>
      <c r="E726" s="8">
        <v>1525943</v>
      </c>
      <c r="F726" s="8">
        <v>1647140</v>
      </c>
      <c r="G726" s="8">
        <f t="shared" si="20"/>
        <v>-121197</v>
      </c>
    </row>
    <row r="727" spans="1:7" x14ac:dyDescent="0.25">
      <c r="A727" s="4">
        <v>234</v>
      </c>
      <c r="B727" s="4" t="s">
        <v>82</v>
      </c>
      <c r="C727" s="4">
        <v>2027</v>
      </c>
      <c r="D727" s="4">
        <v>52201</v>
      </c>
      <c r="E727" s="8">
        <v>377970</v>
      </c>
      <c r="F727" s="8">
        <v>387241</v>
      </c>
      <c r="G727" s="8">
        <f t="shared" si="20"/>
        <v>-9271</v>
      </c>
    </row>
    <row r="728" spans="1:7" x14ac:dyDescent="0.25">
      <c r="A728" s="4">
        <v>234</v>
      </c>
      <c r="B728" s="4" t="s">
        <v>82</v>
      </c>
      <c r="C728" s="4">
        <v>2028</v>
      </c>
      <c r="D728" s="4">
        <v>51103</v>
      </c>
      <c r="E728" s="8">
        <v>1541132</v>
      </c>
      <c r="F728" s="8">
        <v>1663541</v>
      </c>
      <c r="G728" s="8">
        <f t="shared" si="20"/>
        <v>-122409</v>
      </c>
    </row>
    <row r="729" spans="1:7" x14ac:dyDescent="0.25">
      <c r="A729" s="4">
        <v>234</v>
      </c>
      <c r="B729" s="4" t="s">
        <v>82</v>
      </c>
      <c r="C729" s="4">
        <v>2028</v>
      </c>
      <c r="D729" s="4">
        <v>52201</v>
      </c>
      <c r="E729" s="8">
        <v>384512</v>
      </c>
      <c r="F729" s="8">
        <v>393876</v>
      </c>
      <c r="G729" s="8">
        <f t="shared" si="20"/>
        <v>-9364</v>
      </c>
    </row>
    <row r="730" spans="1:7" x14ac:dyDescent="0.25">
      <c r="A730" s="4">
        <v>234</v>
      </c>
      <c r="B730" s="4" t="s">
        <v>82</v>
      </c>
      <c r="C730" s="4">
        <v>2029</v>
      </c>
      <c r="D730" s="4">
        <v>51103</v>
      </c>
      <c r="E730" s="8">
        <v>1556474</v>
      </c>
      <c r="F730" s="8">
        <v>1680107</v>
      </c>
      <c r="G730" s="8">
        <f t="shared" si="20"/>
        <v>-123633</v>
      </c>
    </row>
    <row r="731" spans="1:7" x14ac:dyDescent="0.25">
      <c r="A731" s="4">
        <v>234</v>
      </c>
      <c r="B731" s="4" t="s">
        <v>82</v>
      </c>
      <c r="C731" s="4">
        <v>2029</v>
      </c>
      <c r="D731" s="4">
        <v>52201</v>
      </c>
      <c r="E731" s="8">
        <v>390005</v>
      </c>
      <c r="F731" s="8">
        <v>399463</v>
      </c>
      <c r="G731" s="8">
        <f t="shared" si="20"/>
        <v>-9458</v>
      </c>
    </row>
    <row r="732" spans="1:7" x14ac:dyDescent="0.25">
      <c r="A732" s="4">
        <v>234</v>
      </c>
      <c r="B732" s="4" t="s">
        <v>82</v>
      </c>
      <c r="C732" s="4">
        <v>2030</v>
      </c>
      <c r="D732" s="4">
        <v>51103</v>
      </c>
      <c r="E732" s="8">
        <v>1571969</v>
      </c>
      <c r="F732" s="8">
        <v>1696838</v>
      </c>
      <c r="G732" s="8">
        <f t="shared" si="20"/>
        <v>-124869</v>
      </c>
    </row>
    <row r="733" spans="1:7" x14ac:dyDescent="0.25">
      <c r="A733" s="4">
        <v>234</v>
      </c>
      <c r="B733" s="4" t="s">
        <v>82</v>
      </c>
      <c r="C733" s="4">
        <v>2030</v>
      </c>
      <c r="D733" s="4">
        <v>52201</v>
      </c>
      <c r="E733" s="8">
        <v>396866</v>
      </c>
      <c r="F733" s="8">
        <v>406419</v>
      </c>
      <c r="G733" s="8">
        <f t="shared" si="20"/>
        <v>-9553</v>
      </c>
    </row>
    <row r="734" spans="1:7" x14ac:dyDescent="0.25">
      <c r="E734" s="49" t="s">
        <v>13</v>
      </c>
      <c r="F734" s="49"/>
      <c r="G734" s="9">
        <f>SUM(G724:G733)</f>
        <v>-658931</v>
      </c>
    </row>
    <row r="736" spans="1:7" x14ac:dyDescent="0.25">
      <c r="A736" s="1" t="s">
        <v>84</v>
      </c>
    </row>
    <row r="737" spans="1:7" x14ac:dyDescent="0.25">
      <c r="A737" s="2" t="s">
        <v>2</v>
      </c>
      <c r="B737" s="2"/>
      <c r="C737" s="2" t="s">
        <v>3</v>
      </c>
      <c r="D737" s="2"/>
      <c r="E737" s="48"/>
      <c r="F737" s="48"/>
      <c r="G737" s="48"/>
    </row>
    <row r="738" spans="1:7" x14ac:dyDescent="0.25">
      <c r="A738" s="2" t="s">
        <v>4</v>
      </c>
      <c r="B738" s="2"/>
      <c r="C738" s="2" t="s">
        <v>5</v>
      </c>
      <c r="D738" s="2" t="s">
        <v>6</v>
      </c>
      <c r="E738" s="2" t="s">
        <v>7</v>
      </c>
      <c r="F738" s="2" t="s">
        <v>8</v>
      </c>
      <c r="G738" s="2" t="s">
        <v>9</v>
      </c>
    </row>
    <row r="739" spans="1:7" x14ac:dyDescent="0.25">
      <c r="A739" s="4">
        <v>234</v>
      </c>
      <c r="B739" s="4" t="s">
        <v>82</v>
      </c>
      <c r="C739" s="4">
        <v>2026</v>
      </c>
      <c r="D739" s="4">
        <v>51101</v>
      </c>
      <c r="E739" s="8">
        <v>0</v>
      </c>
      <c r="F739" s="13">
        <v>120827</v>
      </c>
      <c r="G739" s="8">
        <f t="shared" ref="G739:G758" si="21">E739-F739</f>
        <v>-120827</v>
      </c>
    </row>
    <row r="740" spans="1:7" x14ac:dyDescent="0.25">
      <c r="A740" s="4">
        <v>234</v>
      </c>
      <c r="B740" s="4" t="s">
        <v>82</v>
      </c>
      <c r="C740" s="4">
        <v>2026</v>
      </c>
      <c r="D740" s="4">
        <v>52101</v>
      </c>
      <c r="E740" s="8">
        <v>0</v>
      </c>
      <c r="F740" s="13">
        <f>116+9539+24</f>
        <v>9679</v>
      </c>
      <c r="G740" s="8">
        <f t="shared" si="21"/>
        <v>-9679</v>
      </c>
    </row>
    <row r="741" spans="1:7" x14ac:dyDescent="0.25">
      <c r="A741" s="4">
        <v>234</v>
      </c>
      <c r="B741" s="4" t="s">
        <v>82</v>
      </c>
      <c r="C741" s="4">
        <v>2026</v>
      </c>
      <c r="D741" s="4">
        <v>52111</v>
      </c>
      <c r="E741" s="8">
        <v>0</v>
      </c>
      <c r="F741" s="13">
        <f>43+184+837+895</f>
        <v>1959</v>
      </c>
      <c r="G741" s="8">
        <f t="shared" si="21"/>
        <v>-1959</v>
      </c>
    </row>
    <row r="742" spans="1:7" x14ac:dyDescent="0.25">
      <c r="A742" s="4">
        <v>234</v>
      </c>
      <c r="B742" s="4" t="s">
        <v>82</v>
      </c>
      <c r="C742" s="4">
        <v>2026</v>
      </c>
      <c r="D742" s="4">
        <v>52201</v>
      </c>
      <c r="E742" s="8">
        <v>0</v>
      </c>
      <c r="F742" s="13">
        <f>1752+7491</f>
        <v>9243</v>
      </c>
      <c r="G742" s="8">
        <f t="shared" si="21"/>
        <v>-9243</v>
      </c>
    </row>
    <row r="743" spans="1:7" x14ac:dyDescent="0.25">
      <c r="A743" s="4">
        <v>234</v>
      </c>
      <c r="B743" s="4" t="s">
        <v>82</v>
      </c>
      <c r="C743" s="4">
        <v>2027</v>
      </c>
      <c r="D743" s="4">
        <v>51101</v>
      </c>
      <c r="E743" s="8">
        <v>0</v>
      </c>
      <c r="F743" s="13">
        <v>122034</v>
      </c>
      <c r="G743" s="8">
        <f t="shared" si="21"/>
        <v>-122034</v>
      </c>
    </row>
    <row r="744" spans="1:7" x14ac:dyDescent="0.25">
      <c r="A744" s="4">
        <v>234</v>
      </c>
      <c r="B744" s="4" t="s">
        <v>82</v>
      </c>
      <c r="C744" s="4">
        <v>2027</v>
      </c>
      <c r="D744" s="4">
        <v>52101</v>
      </c>
      <c r="E744" s="8">
        <v>0</v>
      </c>
      <c r="F744" s="13">
        <f>116+296+9539+24</f>
        <v>9975</v>
      </c>
      <c r="G744" s="8">
        <f t="shared" si="21"/>
        <v>-9975</v>
      </c>
    </row>
    <row r="745" spans="1:7" x14ac:dyDescent="0.25">
      <c r="A745" s="4">
        <v>234</v>
      </c>
      <c r="B745" s="4" t="s">
        <v>82</v>
      </c>
      <c r="C745" s="4">
        <v>2027</v>
      </c>
      <c r="D745" s="4">
        <v>52111</v>
      </c>
      <c r="E745" s="8">
        <v>0</v>
      </c>
      <c r="F745" s="13">
        <f>44+186+846+904</f>
        <v>1980</v>
      </c>
      <c r="G745" s="8">
        <f t="shared" si="21"/>
        <v>-1980</v>
      </c>
    </row>
    <row r="746" spans="1:7" x14ac:dyDescent="0.25">
      <c r="A746" s="4">
        <v>234</v>
      </c>
      <c r="B746" s="4" t="s">
        <v>82</v>
      </c>
      <c r="C746" s="4">
        <v>2027</v>
      </c>
      <c r="D746" s="4">
        <v>52201</v>
      </c>
      <c r="E746" s="8">
        <v>0</v>
      </c>
      <c r="F746" s="13">
        <f>1769+7566</f>
        <v>9335</v>
      </c>
      <c r="G746" s="8">
        <f t="shared" si="21"/>
        <v>-9335</v>
      </c>
    </row>
    <row r="747" spans="1:7" x14ac:dyDescent="0.25">
      <c r="A747" s="4">
        <v>234</v>
      </c>
      <c r="B747" s="4" t="s">
        <v>82</v>
      </c>
      <c r="C747" s="4">
        <v>2028</v>
      </c>
      <c r="D747" s="4">
        <v>51101</v>
      </c>
      <c r="E747" s="8">
        <v>0</v>
      </c>
      <c r="F747" s="13">
        <v>123261</v>
      </c>
      <c r="G747" s="8">
        <f t="shared" si="21"/>
        <v>-123261</v>
      </c>
    </row>
    <row r="748" spans="1:7" x14ac:dyDescent="0.25">
      <c r="A748" s="4">
        <v>234</v>
      </c>
      <c r="B748" s="4" t="s">
        <v>82</v>
      </c>
      <c r="C748" s="4">
        <v>2028</v>
      </c>
      <c r="D748" s="4">
        <v>52101</v>
      </c>
      <c r="E748" s="8">
        <v>0</v>
      </c>
      <c r="F748" s="13">
        <f>116+601+9539+24</f>
        <v>10280</v>
      </c>
      <c r="G748" s="8">
        <f t="shared" si="21"/>
        <v>-10280</v>
      </c>
    </row>
    <row r="749" spans="1:7" x14ac:dyDescent="0.25">
      <c r="A749" s="4">
        <v>234</v>
      </c>
      <c r="B749" s="4" t="s">
        <v>82</v>
      </c>
      <c r="C749" s="4">
        <v>2028</v>
      </c>
      <c r="D749" s="4">
        <v>52111</v>
      </c>
      <c r="E749" s="8">
        <v>0</v>
      </c>
      <c r="F749" s="13">
        <f>44+188+854+913</f>
        <v>1999</v>
      </c>
      <c r="G749" s="8">
        <f t="shared" si="21"/>
        <v>-1999</v>
      </c>
    </row>
    <row r="750" spans="1:7" x14ac:dyDescent="0.25">
      <c r="A750" s="4">
        <v>234</v>
      </c>
      <c r="B750" s="4" t="s">
        <v>82</v>
      </c>
      <c r="C750" s="4">
        <v>2028</v>
      </c>
      <c r="D750" s="4">
        <v>52201</v>
      </c>
      <c r="E750" s="8">
        <v>0</v>
      </c>
      <c r="F750" s="13">
        <f>1787+7642</f>
        <v>9429</v>
      </c>
      <c r="G750" s="8">
        <f t="shared" si="21"/>
        <v>-9429</v>
      </c>
    </row>
    <row r="751" spans="1:7" x14ac:dyDescent="0.25">
      <c r="A751" s="4">
        <v>234</v>
      </c>
      <c r="B751" s="4" t="s">
        <v>82</v>
      </c>
      <c r="C751" s="4">
        <v>2029</v>
      </c>
      <c r="D751" s="4">
        <v>51101</v>
      </c>
      <c r="E751" s="8">
        <v>0</v>
      </c>
      <c r="F751" s="13">
        <v>124488</v>
      </c>
      <c r="G751" s="8">
        <f t="shared" si="21"/>
        <v>-124488</v>
      </c>
    </row>
    <row r="752" spans="1:7" x14ac:dyDescent="0.25">
      <c r="A752" s="4">
        <v>234</v>
      </c>
      <c r="B752" s="4" t="s">
        <v>82</v>
      </c>
      <c r="C752" s="4">
        <v>2029</v>
      </c>
      <c r="D752" s="4">
        <v>52101</v>
      </c>
      <c r="E752" s="8">
        <v>0</v>
      </c>
      <c r="F752" s="13">
        <f>116+915+9539+24</f>
        <v>10594</v>
      </c>
      <c r="G752" s="8">
        <f t="shared" si="21"/>
        <v>-10594</v>
      </c>
    </row>
    <row r="753" spans="1:7" x14ac:dyDescent="0.25">
      <c r="A753" s="4">
        <v>234</v>
      </c>
      <c r="B753" s="4" t="s">
        <v>82</v>
      </c>
      <c r="C753" s="4">
        <v>2029</v>
      </c>
      <c r="D753" s="4">
        <v>52111</v>
      </c>
      <c r="E753" s="8">
        <v>0</v>
      </c>
      <c r="F753" s="13">
        <f>45+190+863+922</f>
        <v>2020</v>
      </c>
      <c r="G753" s="8">
        <f t="shared" si="21"/>
        <v>-2020</v>
      </c>
    </row>
    <row r="754" spans="1:7" x14ac:dyDescent="0.25">
      <c r="A754" s="4">
        <v>234</v>
      </c>
      <c r="B754" s="4" t="s">
        <v>82</v>
      </c>
      <c r="C754" s="4">
        <v>2029</v>
      </c>
      <c r="D754" s="4">
        <v>52201</v>
      </c>
      <c r="E754" s="8">
        <v>0</v>
      </c>
      <c r="F754" s="13">
        <f>1805+7718</f>
        <v>9523</v>
      </c>
      <c r="G754" s="8">
        <f t="shared" si="21"/>
        <v>-9523</v>
      </c>
    </row>
    <row r="755" spans="1:7" x14ac:dyDescent="0.25">
      <c r="A755" s="4">
        <v>234</v>
      </c>
      <c r="B755" s="4" t="s">
        <v>82</v>
      </c>
      <c r="C755" s="4">
        <v>2030</v>
      </c>
      <c r="D755" s="4">
        <v>51101</v>
      </c>
      <c r="E755" s="8">
        <v>0</v>
      </c>
      <c r="F755" s="13">
        <v>125736</v>
      </c>
      <c r="G755" s="8">
        <f t="shared" si="21"/>
        <v>-125736</v>
      </c>
    </row>
    <row r="756" spans="1:7" x14ac:dyDescent="0.25">
      <c r="A756" s="4">
        <v>234</v>
      </c>
      <c r="B756" s="4" t="s">
        <v>82</v>
      </c>
      <c r="C756" s="4">
        <v>2030</v>
      </c>
      <c r="D756" s="4">
        <v>52101</v>
      </c>
      <c r="E756" s="8">
        <v>0</v>
      </c>
      <c r="F756" s="13">
        <f>116+1239+9539+24</f>
        <v>10918</v>
      </c>
      <c r="G756" s="8">
        <f t="shared" si="21"/>
        <v>-10918</v>
      </c>
    </row>
    <row r="757" spans="1:7" x14ac:dyDescent="0.25">
      <c r="A757" s="4">
        <v>234</v>
      </c>
      <c r="B757" s="4" t="s">
        <v>82</v>
      </c>
      <c r="C757" s="4">
        <v>2030</v>
      </c>
      <c r="D757" s="4">
        <v>52111</v>
      </c>
      <c r="E757" s="8">
        <v>0</v>
      </c>
      <c r="F757" s="13">
        <f>45+192+871+932</f>
        <v>2040</v>
      </c>
      <c r="G757" s="8">
        <f t="shared" si="21"/>
        <v>-2040</v>
      </c>
    </row>
    <row r="758" spans="1:7" x14ac:dyDescent="0.25">
      <c r="A758" s="4">
        <v>234</v>
      </c>
      <c r="B758" s="4" t="s">
        <v>82</v>
      </c>
      <c r="C758" s="4">
        <v>2030</v>
      </c>
      <c r="D758" s="4">
        <v>52201</v>
      </c>
      <c r="E758" s="8">
        <v>0</v>
      </c>
      <c r="F758" s="8">
        <f>1823+7796</f>
        <v>9619</v>
      </c>
      <c r="G758" s="8">
        <f t="shared" si="21"/>
        <v>-9619</v>
      </c>
    </row>
    <row r="759" spans="1:7" x14ac:dyDescent="0.25">
      <c r="E759" s="49" t="s">
        <v>13</v>
      </c>
      <c r="F759" s="49"/>
      <c r="G759" s="9">
        <f>SUM(G739:G758)</f>
        <v>-724939</v>
      </c>
    </row>
    <row r="761" spans="1:7" x14ac:dyDescent="0.25">
      <c r="A761" s="1" t="s">
        <v>85</v>
      </c>
    </row>
    <row r="762" spans="1:7" x14ac:dyDescent="0.25">
      <c r="A762" s="2" t="s">
        <v>2</v>
      </c>
      <c r="B762" s="2"/>
      <c r="C762" s="2" t="s">
        <v>3</v>
      </c>
      <c r="D762" s="2"/>
      <c r="E762" s="48"/>
      <c r="F762" s="48"/>
      <c r="G762" s="48"/>
    </row>
    <row r="763" spans="1:7" x14ac:dyDescent="0.25">
      <c r="A763" s="2" t="s">
        <v>4</v>
      </c>
      <c r="B763" s="2"/>
      <c r="C763" s="2" t="s">
        <v>5</v>
      </c>
      <c r="D763" s="2" t="s">
        <v>6</v>
      </c>
      <c r="E763" s="2" t="s">
        <v>7</v>
      </c>
      <c r="F763" s="2" t="s">
        <v>8</v>
      </c>
      <c r="G763" s="2" t="s">
        <v>9</v>
      </c>
    </row>
    <row r="764" spans="1:7" x14ac:dyDescent="0.25">
      <c r="A764" s="4">
        <v>234</v>
      </c>
      <c r="B764" s="4" t="s">
        <v>82</v>
      </c>
      <c r="C764" s="4">
        <v>2026</v>
      </c>
      <c r="D764" s="4">
        <v>56151</v>
      </c>
      <c r="E764" s="8">
        <v>362500</v>
      </c>
      <c r="F764" s="8">
        <f>362500+50000</f>
        <v>412500</v>
      </c>
      <c r="G764" s="8">
        <f>E764-F764</f>
        <v>-50000</v>
      </c>
    </row>
    <row r="765" spans="1:7" x14ac:dyDescent="0.25">
      <c r="A765" s="4">
        <v>235</v>
      </c>
      <c r="B765" s="4" t="s">
        <v>82</v>
      </c>
      <c r="C765" s="4">
        <v>2027</v>
      </c>
      <c r="D765" s="4">
        <v>56151</v>
      </c>
      <c r="E765" s="8">
        <v>362500</v>
      </c>
      <c r="F765" s="8">
        <f>362500+50000</f>
        <v>412500</v>
      </c>
      <c r="G765" s="8">
        <f>E765-F765</f>
        <v>-50000</v>
      </c>
    </row>
    <row r="766" spans="1:7" x14ac:dyDescent="0.25">
      <c r="A766" s="4">
        <v>236</v>
      </c>
      <c r="B766" s="4" t="s">
        <v>82</v>
      </c>
      <c r="C766" s="4">
        <v>2028</v>
      </c>
      <c r="D766" s="4">
        <v>56151</v>
      </c>
      <c r="E766" s="8">
        <v>362500</v>
      </c>
      <c r="F766" s="8">
        <f>362500+50000</f>
        <v>412500</v>
      </c>
      <c r="G766" s="8">
        <f>E766-F766</f>
        <v>-50000</v>
      </c>
    </row>
    <row r="767" spans="1:7" x14ac:dyDescent="0.25">
      <c r="A767" s="4">
        <v>237</v>
      </c>
      <c r="B767" s="4" t="s">
        <v>82</v>
      </c>
      <c r="C767" s="4">
        <v>2029</v>
      </c>
      <c r="D767" s="4">
        <v>56151</v>
      </c>
      <c r="E767" s="8">
        <v>362500</v>
      </c>
      <c r="F767" s="8">
        <f>362500+50000</f>
        <v>412500</v>
      </c>
      <c r="G767" s="8">
        <f>E767-F767</f>
        <v>-50000</v>
      </c>
    </row>
    <row r="768" spans="1:7" x14ac:dyDescent="0.25">
      <c r="A768" s="4">
        <v>238</v>
      </c>
      <c r="B768" s="4" t="s">
        <v>82</v>
      </c>
      <c r="C768" s="4">
        <v>2030</v>
      </c>
      <c r="D768" s="4">
        <v>56151</v>
      </c>
      <c r="E768" s="8">
        <v>362500</v>
      </c>
      <c r="F768" s="8">
        <f>362500+50000</f>
        <v>412500</v>
      </c>
      <c r="G768" s="8">
        <f>E768-F768</f>
        <v>-50000</v>
      </c>
    </row>
    <row r="769" spans="1:7" x14ac:dyDescent="0.25">
      <c r="E769" s="49" t="s">
        <v>13</v>
      </c>
      <c r="F769" s="49"/>
      <c r="G769" s="9">
        <f>SUM(G764:G768)</f>
        <v>-250000</v>
      </c>
    </row>
    <row r="771" spans="1:7" x14ac:dyDescent="0.25">
      <c r="A771" s="1" t="s">
        <v>86</v>
      </c>
    </row>
    <row r="772" spans="1:7" x14ac:dyDescent="0.25">
      <c r="A772" s="2" t="s">
        <v>2</v>
      </c>
      <c r="B772" s="2"/>
      <c r="C772" s="2" t="s">
        <v>3</v>
      </c>
      <c r="D772" s="2"/>
      <c r="E772" s="48"/>
      <c r="F772" s="48"/>
      <c r="G772" s="48"/>
    </row>
    <row r="773" spans="1:7" x14ac:dyDescent="0.25">
      <c r="A773" s="2" t="s">
        <v>4</v>
      </c>
      <c r="B773" s="2"/>
      <c r="C773" s="2" t="s">
        <v>5</v>
      </c>
      <c r="D773" s="2" t="s">
        <v>6</v>
      </c>
      <c r="E773" s="2" t="s">
        <v>7</v>
      </c>
      <c r="F773" s="2" t="s">
        <v>8</v>
      </c>
      <c r="G773" s="2" t="s">
        <v>9</v>
      </c>
    </row>
    <row r="774" spans="1:7" x14ac:dyDescent="0.25">
      <c r="A774" s="4">
        <v>235</v>
      </c>
      <c r="B774" s="4" t="s">
        <v>82</v>
      </c>
      <c r="C774" s="4">
        <v>2026</v>
      </c>
      <c r="D774" s="4">
        <v>51101</v>
      </c>
      <c r="E774" s="8">
        <v>1000000</v>
      </c>
      <c r="F774" s="8">
        <v>500000</v>
      </c>
      <c r="G774" s="8">
        <f>E774-F774</f>
        <v>500000</v>
      </c>
    </row>
    <row r="775" spans="1:7" x14ac:dyDescent="0.25">
      <c r="E775" s="49" t="s">
        <v>13</v>
      </c>
      <c r="F775" s="49"/>
      <c r="G775" s="9">
        <f>SUM(G774:G774)</f>
        <v>500000</v>
      </c>
    </row>
    <row r="777" spans="1:7" x14ac:dyDescent="0.25">
      <c r="A777" s="1" t="s">
        <v>87</v>
      </c>
    </row>
    <row r="778" spans="1:7" x14ac:dyDescent="0.25">
      <c r="A778" s="2" t="s">
        <v>2</v>
      </c>
      <c r="B778" s="2"/>
      <c r="C778" s="2" t="s">
        <v>3</v>
      </c>
      <c r="D778" s="2"/>
      <c r="E778" s="48"/>
      <c r="F778" s="48"/>
      <c r="G778" s="48"/>
    </row>
    <row r="779" spans="1:7" x14ac:dyDescent="0.25">
      <c r="A779" s="2" t="s">
        <v>4</v>
      </c>
      <c r="B779" s="2"/>
      <c r="C779" s="2" t="s">
        <v>5</v>
      </c>
      <c r="D779" s="2" t="s">
        <v>6</v>
      </c>
      <c r="E779" s="2" t="s">
        <v>7</v>
      </c>
      <c r="F779" s="2" t="s">
        <v>8</v>
      </c>
      <c r="G779" s="2" t="s">
        <v>9</v>
      </c>
    </row>
    <row r="780" spans="1:7" x14ac:dyDescent="0.25">
      <c r="A780" s="4">
        <v>163</v>
      </c>
      <c r="B780" s="4" t="s">
        <v>88</v>
      </c>
      <c r="C780" s="4">
        <v>2026</v>
      </c>
      <c r="D780" s="4">
        <v>51101</v>
      </c>
      <c r="E780" s="8">
        <v>101525</v>
      </c>
      <c r="F780" s="8">
        <v>105498</v>
      </c>
      <c r="G780" s="8">
        <f t="shared" ref="G780:G794" si="22">E780-F780</f>
        <v>-3973</v>
      </c>
    </row>
    <row r="781" spans="1:7" x14ac:dyDescent="0.25">
      <c r="A781" s="4">
        <v>163</v>
      </c>
      <c r="B781" s="4" t="s">
        <v>88</v>
      </c>
      <c r="C781" s="4">
        <v>2026</v>
      </c>
      <c r="D781" s="4">
        <v>52111</v>
      </c>
      <c r="E781" s="8">
        <v>3260</v>
      </c>
      <c r="F781" s="8">
        <v>3382</v>
      </c>
      <c r="G781" s="8">
        <f t="shared" si="22"/>
        <v>-122</v>
      </c>
    </row>
    <row r="782" spans="1:7" x14ac:dyDescent="0.25">
      <c r="A782" s="4">
        <v>163</v>
      </c>
      <c r="B782" s="4" t="s">
        <v>88</v>
      </c>
      <c r="C782" s="4">
        <v>2026</v>
      </c>
      <c r="D782" s="4">
        <v>52201</v>
      </c>
      <c r="E782" s="8">
        <v>6295</v>
      </c>
      <c r="F782" s="8">
        <v>6541</v>
      </c>
      <c r="G782" s="8">
        <f t="shared" si="22"/>
        <v>-246</v>
      </c>
    </row>
    <row r="783" spans="1:7" x14ac:dyDescent="0.25">
      <c r="A783" s="4">
        <v>163</v>
      </c>
      <c r="B783" s="4" t="s">
        <v>88</v>
      </c>
      <c r="C783" s="4">
        <v>2027</v>
      </c>
      <c r="D783" s="4">
        <v>51101</v>
      </c>
      <c r="E783" s="8">
        <v>102544</v>
      </c>
      <c r="F783" s="8">
        <v>106558</v>
      </c>
      <c r="G783" s="8">
        <f t="shared" si="22"/>
        <v>-4014</v>
      </c>
    </row>
    <row r="784" spans="1:7" x14ac:dyDescent="0.25">
      <c r="A784" s="4">
        <v>163</v>
      </c>
      <c r="B784" s="4" t="s">
        <v>88</v>
      </c>
      <c r="C784" s="4">
        <v>2027</v>
      </c>
      <c r="D784" s="4">
        <v>52111</v>
      </c>
      <c r="E784" s="8">
        <v>3291</v>
      </c>
      <c r="F784" s="8">
        <v>3416</v>
      </c>
      <c r="G784" s="8">
        <f t="shared" si="22"/>
        <v>-125</v>
      </c>
    </row>
    <row r="785" spans="1:7" x14ac:dyDescent="0.25">
      <c r="A785" s="4">
        <v>163</v>
      </c>
      <c r="B785" s="4" t="s">
        <v>88</v>
      </c>
      <c r="C785" s="4">
        <v>2027</v>
      </c>
      <c r="D785" s="4">
        <v>52201</v>
      </c>
      <c r="E785" s="8">
        <v>6358</v>
      </c>
      <c r="F785" s="8">
        <v>6607</v>
      </c>
      <c r="G785" s="8">
        <f t="shared" si="22"/>
        <v>-249</v>
      </c>
    </row>
    <row r="786" spans="1:7" x14ac:dyDescent="0.25">
      <c r="A786" s="4">
        <v>163</v>
      </c>
      <c r="B786" s="4" t="s">
        <v>88</v>
      </c>
      <c r="C786" s="4">
        <v>2028</v>
      </c>
      <c r="D786" s="4">
        <v>51101</v>
      </c>
      <c r="E786" s="8">
        <v>103563</v>
      </c>
      <c r="F786" s="8">
        <v>107619</v>
      </c>
      <c r="G786" s="8">
        <f t="shared" si="22"/>
        <v>-4056</v>
      </c>
    </row>
    <row r="787" spans="1:7" x14ac:dyDescent="0.25">
      <c r="A787" s="4">
        <v>163</v>
      </c>
      <c r="B787" s="4" t="s">
        <v>88</v>
      </c>
      <c r="C787" s="4">
        <v>2028</v>
      </c>
      <c r="D787" s="4">
        <v>52111</v>
      </c>
      <c r="E787" s="8">
        <v>3322</v>
      </c>
      <c r="F787" s="8">
        <v>3446</v>
      </c>
      <c r="G787" s="8">
        <f t="shared" si="22"/>
        <v>-124</v>
      </c>
    </row>
    <row r="788" spans="1:7" x14ac:dyDescent="0.25">
      <c r="A788" s="4">
        <v>163</v>
      </c>
      <c r="B788" s="4" t="s">
        <v>88</v>
      </c>
      <c r="C788" s="4">
        <v>2028</v>
      </c>
      <c r="D788" s="4">
        <v>52201</v>
      </c>
      <c r="E788" s="8">
        <v>6421</v>
      </c>
      <c r="F788" s="8">
        <v>6672</v>
      </c>
      <c r="G788" s="8">
        <f t="shared" si="22"/>
        <v>-251</v>
      </c>
    </row>
    <row r="789" spans="1:7" x14ac:dyDescent="0.25">
      <c r="A789" s="4">
        <v>163</v>
      </c>
      <c r="B789" s="4" t="s">
        <v>88</v>
      </c>
      <c r="C789" s="4">
        <v>2029</v>
      </c>
      <c r="D789" s="4">
        <v>51101</v>
      </c>
      <c r="E789" s="8">
        <v>104603</v>
      </c>
      <c r="F789" s="8">
        <v>108701</v>
      </c>
      <c r="G789" s="8">
        <f t="shared" si="22"/>
        <v>-4098</v>
      </c>
    </row>
    <row r="790" spans="1:7" x14ac:dyDescent="0.25">
      <c r="A790" s="4">
        <v>163</v>
      </c>
      <c r="B790" s="4" t="s">
        <v>88</v>
      </c>
      <c r="C790" s="4">
        <v>2029</v>
      </c>
      <c r="D790" s="4">
        <v>52111</v>
      </c>
      <c r="E790" s="8">
        <v>3354</v>
      </c>
      <c r="F790" s="8">
        <v>3479</v>
      </c>
      <c r="G790" s="8">
        <f t="shared" si="22"/>
        <v>-125</v>
      </c>
    </row>
    <row r="791" spans="1:7" x14ac:dyDescent="0.25">
      <c r="A791" s="4">
        <v>163</v>
      </c>
      <c r="B791" s="4" t="s">
        <v>88</v>
      </c>
      <c r="C791" s="4">
        <v>2029</v>
      </c>
      <c r="D791" s="4">
        <v>52201</v>
      </c>
      <c r="E791" s="8">
        <v>6485</v>
      </c>
      <c r="F791" s="8">
        <v>6739</v>
      </c>
      <c r="G791" s="8">
        <f t="shared" si="22"/>
        <v>-254</v>
      </c>
    </row>
    <row r="792" spans="1:7" x14ac:dyDescent="0.25">
      <c r="A792" s="4">
        <v>163</v>
      </c>
      <c r="B792" s="4" t="s">
        <v>88</v>
      </c>
      <c r="C792" s="4">
        <v>2030</v>
      </c>
      <c r="D792" s="4">
        <v>51101</v>
      </c>
      <c r="E792" s="8">
        <v>105643</v>
      </c>
      <c r="F792" s="8">
        <v>109782</v>
      </c>
      <c r="G792" s="8">
        <f t="shared" si="22"/>
        <v>-4139</v>
      </c>
    </row>
    <row r="793" spans="1:7" x14ac:dyDescent="0.25">
      <c r="A793" s="4">
        <v>163</v>
      </c>
      <c r="B793" s="4" t="s">
        <v>88</v>
      </c>
      <c r="C793" s="4">
        <v>2030</v>
      </c>
      <c r="D793" s="4">
        <v>52111</v>
      </c>
      <c r="E793" s="8">
        <v>3386</v>
      </c>
      <c r="F793" s="8">
        <v>3513</v>
      </c>
      <c r="G793" s="8">
        <f t="shared" si="22"/>
        <v>-127</v>
      </c>
    </row>
    <row r="794" spans="1:7" x14ac:dyDescent="0.25">
      <c r="A794" s="4">
        <v>163</v>
      </c>
      <c r="B794" s="4" t="s">
        <v>88</v>
      </c>
      <c r="C794" s="4">
        <v>2030</v>
      </c>
      <c r="D794" s="4">
        <v>52201</v>
      </c>
      <c r="E794" s="8">
        <v>6550</v>
      </c>
      <c r="F794" s="8">
        <v>6807</v>
      </c>
      <c r="G794" s="8">
        <f t="shared" si="22"/>
        <v>-257</v>
      </c>
    </row>
    <row r="795" spans="1:7" x14ac:dyDescent="0.25">
      <c r="E795" s="49" t="s">
        <v>13</v>
      </c>
      <c r="F795" s="49"/>
      <c r="G795" s="9">
        <f>SUM(G780:G794)</f>
        <v>-22160</v>
      </c>
    </row>
    <row r="797" spans="1:7" x14ac:dyDescent="0.25">
      <c r="A797" s="1" t="s">
        <v>89</v>
      </c>
    </row>
    <row r="798" spans="1:7" x14ac:dyDescent="0.25">
      <c r="A798" s="2" t="s">
        <v>2</v>
      </c>
      <c r="B798" s="2"/>
      <c r="C798" s="2" t="s">
        <v>3</v>
      </c>
      <c r="D798" s="2"/>
      <c r="E798" s="48"/>
      <c r="F798" s="48"/>
      <c r="G798" s="48"/>
    </row>
    <row r="799" spans="1:7" x14ac:dyDescent="0.25">
      <c r="A799" s="2" t="s">
        <v>4</v>
      </c>
      <c r="B799" s="2"/>
      <c r="C799" s="2" t="s">
        <v>5</v>
      </c>
      <c r="D799" s="2" t="s">
        <v>6</v>
      </c>
      <c r="E799" s="2" t="s">
        <v>7</v>
      </c>
      <c r="F799" s="2" t="s">
        <v>8</v>
      </c>
      <c r="G799" s="2" t="s">
        <v>9</v>
      </c>
    </row>
    <row r="800" spans="1:7" x14ac:dyDescent="0.25">
      <c r="A800" s="4">
        <v>163</v>
      </c>
      <c r="B800" s="4" t="s">
        <v>88</v>
      </c>
      <c r="C800" s="4">
        <v>2026</v>
      </c>
      <c r="D800" s="4">
        <v>51101</v>
      </c>
      <c r="E800" s="16">
        <v>114046</v>
      </c>
      <c r="F800" s="8">
        <v>0</v>
      </c>
      <c r="G800" s="8">
        <f>E800-F800</f>
        <v>114046</v>
      </c>
    </row>
    <row r="801" spans="1:7" x14ac:dyDescent="0.25">
      <c r="A801" s="4">
        <v>163</v>
      </c>
      <c r="B801" s="4" t="s">
        <v>88</v>
      </c>
      <c r="C801" s="4">
        <v>2026</v>
      </c>
      <c r="D801" s="4">
        <v>52101</v>
      </c>
      <c r="E801" s="16">
        <v>9328</v>
      </c>
      <c r="F801" s="8">
        <v>0</v>
      </c>
      <c r="G801" s="8">
        <f>E801-F801</f>
        <v>9328</v>
      </c>
    </row>
    <row r="802" spans="1:7" x14ac:dyDescent="0.25">
      <c r="A802" s="4">
        <v>163</v>
      </c>
      <c r="B802" s="4" t="s">
        <v>88</v>
      </c>
      <c r="C802" s="4">
        <v>2026</v>
      </c>
      <c r="D802" s="4">
        <v>52111</v>
      </c>
      <c r="E802" s="16">
        <v>1850</v>
      </c>
      <c r="F802" s="8">
        <v>0</v>
      </c>
      <c r="G802" s="8">
        <f>E802-F802</f>
        <v>1850</v>
      </c>
    </row>
    <row r="803" spans="1:7" x14ac:dyDescent="0.25">
      <c r="A803" s="4">
        <v>163</v>
      </c>
      <c r="B803" s="4" t="s">
        <v>88</v>
      </c>
      <c r="C803" s="4">
        <v>2026</v>
      </c>
      <c r="D803" s="4">
        <v>52201</v>
      </c>
      <c r="E803" s="16">
        <v>8725</v>
      </c>
      <c r="F803" s="8">
        <v>0</v>
      </c>
      <c r="G803" s="8">
        <f t="shared" ref="G803:G819" si="23">E803-F803</f>
        <v>8725</v>
      </c>
    </row>
    <row r="804" spans="1:7" x14ac:dyDescent="0.25">
      <c r="A804" s="4">
        <v>163</v>
      </c>
      <c r="B804" s="4" t="s">
        <v>88</v>
      </c>
      <c r="C804" s="4">
        <v>2027</v>
      </c>
      <c r="D804" s="4">
        <v>51101</v>
      </c>
      <c r="E804" s="16">
        <v>115190</v>
      </c>
      <c r="F804" s="8">
        <v>0</v>
      </c>
      <c r="G804" s="8">
        <f t="shared" si="23"/>
        <v>115190</v>
      </c>
    </row>
    <row r="805" spans="1:7" x14ac:dyDescent="0.25">
      <c r="A805" s="4">
        <v>163</v>
      </c>
      <c r="B805" s="4" t="s">
        <v>88</v>
      </c>
      <c r="C805" s="4">
        <v>2027</v>
      </c>
      <c r="D805" s="4">
        <v>52101</v>
      </c>
      <c r="E805" s="16">
        <v>9613</v>
      </c>
      <c r="F805" s="8">
        <v>0</v>
      </c>
      <c r="G805" s="8">
        <f t="shared" si="23"/>
        <v>9613</v>
      </c>
    </row>
    <row r="806" spans="1:7" x14ac:dyDescent="0.25">
      <c r="A806" s="4">
        <v>163</v>
      </c>
      <c r="B806" s="4" t="s">
        <v>88</v>
      </c>
      <c r="C806" s="4">
        <v>2027</v>
      </c>
      <c r="D806" s="4">
        <v>52111</v>
      </c>
      <c r="E806" s="16">
        <v>1869</v>
      </c>
      <c r="F806" s="8">
        <v>0</v>
      </c>
      <c r="G806" s="8">
        <f t="shared" si="23"/>
        <v>1869</v>
      </c>
    </row>
    <row r="807" spans="1:7" x14ac:dyDescent="0.25">
      <c r="A807" s="4">
        <v>163</v>
      </c>
      <c r="B807" s="4" t="s">
        <v>88</v>
      </c>
      <c r="C807" s="4">
        <v>2027</v>
      </c>
      <c r="D807" s="4">
        <v>52201</v>
      </c>
      <c r="E807" s="16">
        <v>8812</v>
      </c>
      <c r="F807" s="8">
        <v>0</v>
      </c>
      <c r="G807" s="8">
        <f t="shared" si="23"/>
        <v>8812</v>
      </c>
    </row>
    <row r="808" spans="1:7" x14ac:dyDescent="0.25">
      <c r="A808" s="4">
        <v>163</v>
      </c>
      <c r="B808" s="4" t="s">
        <v>88</v>
      </c>
      <c r="C808" s="4">
        <v>2028</v>
      </c>
      <c r="D808" s="4">
        <v>51101</v>
      </c>
      <c r="E808" s="16">
        <v>116334</v>
      </c>
      <c r="F808" s="8">
        <v>0</v>
      </c>
      <c r="G808" s="8">
        <f t="shared" si="23"/>
        <v>116334</v>
      </c>
    </row>
    <row r="809" spans="1:7" x14ac:dyDescent="0.25">
      <c r="A809" s="4">
        <v>163</v>
      </c>
      <c r="B809" s="4" t="s">
        <v>88</v>
      </c>
      <c r="C809" s="4">
        <v>2028</v>
      </c>
      <c r="D809" s="4">
        <v>52101</v>
      </c>
      <c r="E809" s="16">
        <v>9907</v>
      </c>
      <c r="F809" s="8">
        <v>0</v>
      </c>
      <c r="G809" s="8">
        <f t="shared" si="23"/>
        <v>9907</v>
      </c>
    </row>
    <row r="810" spans="1:7" x14ac:dyDescent="0.25">
      <c r="A810" s="4">
        <v>163</v>
      </c>
      <c r="B810" s="4" t="s">
        <v>88</v>
      </c>
      <c r="C810" s="4">
        <v>2028</v>
      </c>
      <c r="D810" s="4">
        <v>52111</v>
      </c>
      <c r="E810" s="16">
        <v>1887</v>
      </c>
      <c r="F810" s="8">
        <v>0</v>
      </c>
      <c r="G810" s="8">
        <f t="shared" si="23"/>
        <v>1887</v>
      </c>
    </row>
    <row r="811" spans="1:7" x14ac:dyDescent="0.25">
      <c r="A811" s="4">
        <v>163</v>
      </c>
      <c r="B811" s="4" t="s">
        <v>88</v>
      </c>
      <c r="C811" s="4">
        <v>2028</v>
      </c>
      <c r="D811" s="4">
        <v>52201</v>
      </c>
      <c r="E811" s="16">
        <v>8900</v>
      </c>
      <c r="F811" s="8">
        <v>0</v>
      </c>
      <c r="G811" s="8">
        <f t="shared" si="23"/>
        <v>8900</v>
      </c>
    </row>
    <row r="812" spans="1:7" x14ac:dyDescent="0.25">
      <c r="A812" s="4">
        <v>163</v>
      </c>
      <c r="B812" s="4" t="s">
        <v>88</v>
      </c>
      <c r="C812" s="4">
        <v>2029</v>
      </c>
      <c r="D812" s="4">
        <v>51101</v>
      </c>
      <c r="E812" s="16">
        <v>117499</v>
      </c>
      <c r="F812" s="8">
        <v>0</v>
      </c>
      <c r="G812" s="8">
        <f t="shared" si="23"/>
        <v>117499</v>
      </c>
    </row>
    <row r="813" spans="1:7" x14ac:dyDescent="0.25">
      <c r="A813" s="4">
        <v>163</v>
      </c>
      <c r="B813" s="4" t="s">
        <v>88</v>
      </c>
      <c r="C813" s="4">
        <v>2029</v>
      </c>
      <c r="D813" s="4">
        <v>52101</v>
      </c>
      <c r="E813" s="16">
        <v>10209</v>
      </c>
      <c r="F813" s="8">
        <v>0</v>
      </c>
      <c r="G813" s="8">
        <f t="shared" si="23"/>
        <v>10209</v>
      </c>
    </row>
    <row r="814" spans="1:7" x14ac:dyDescent="0.25">
      <c r="A814" s="4">
        <v>163</v>
      </c>
      <c r="B814" s="4" t="s">
        <v>88</v>
      </c>
      <c r="C814" s="4">
        <v>2029</v>
      </c>
      <c r="D814" s="4">
        <v>52111</v>
      </c>
      <c r="E814" s="16">
        <v>1906</v>
      </c>
      <c r="F814" s="8">
        <v>0</v>
      </c>
      <c r="G814" s="8">
        <f t="shared" si="23"/>
        <v>1906</v>
      </c>
    </row>
    <row r="815" spans="1:7" x14ac:dyDescent="0.25">
      <c r="A815" s="4">
        <v>164</v>
      </c>
      <c r="B815" s="4" t="s">
        <v>88</v>
      </c>
      <c r="C815" s="4">
        <v>2029</v>
      </c>
      <c r="D815" s="4">
        <v>52201</v>
      </c>
      <c r="E815" s="16">
        <v>8989</v>
      </c>
      <c r="F815" s="8">
        <v>0</v>
      </c>
      <c r="G815" s="8">
        <f t="shared" si="23"/>
        <v>8989</v>
      </c>
    </row>
    <row r="816" spans="1:7" x14ac:dyDescent="0.25">
      <c r="A816" s="4">
        <v>165</v>
      </c>
      <c r="B816" s="4" t="s">
        <v>88</v>
      </c>
      <c r="C816" s="4">
        <v>2030</v>
      </c>
      <c r="D816" s="4">
        <v>51101</v>
      </c>
      <c r="E816" s="16">
        <v>118685</v>
      </c>
      <c r="F816" s="8">
        <v>0</v>
      </c>
      <c r="G816" s="8">
        <f t="shared" si="23"/>
        <v>118685</v>
      </c>
    </row>
    <row r="817" spans="1:7" x14ac:dyDescent="0.25">
      <c r="A817" s="4">
        <v>166</v>
      </c>
      <c r="B817" s="4" t="s">
        <v>88</v>
      </c>
      <c r="C817" s="4">
        <v>2030</v>
      </c>
      <c r="D817" s="4">
        <v>52101</v>
      </c>
      <c r="E817" s="16">
        <v>10522</v>
      </c>
      <c r="F817" s="8">
        <v>0</v>
      </c>
      <c r="G817" s="8">
        <f t="shared" si="23"/>
        <v>10522</v>
      </c>
    </row>
    <row r="818" spans="1:7" x14ac:dyDescent="0.25">
      <c r="A818" s="4">
        <v>167</v>
      </c>
      <c r="B818" s="4" t="s">
        <v>88</v>
      </c>
      <c r="C818" s="4">
        <v>2030</v>
      </c>
      <c r="D818" s="4">
        <v>52111</v>
      </c>
      <c r="E818" s="16">
        <v>1925</v>
      </c>
      <c r="F818" s="8">
        <v>0</v>
      </c>
      <c r="G818" s="8">
        <f t="shared" si="23"/>
        <v>1925</v>
      </c>
    </row>
    <row r="819" spans="1:7" x14ac:dyDescent="0.25">
      <c r="A819" s="4">
        <v>168</v>
      </c>
      <c r="B819" s="4" t="s">
        <v>88</v>
      </c>
      <c r="C819" s="4">
        <v>2030</v>
      </c>
      <c r="D819" s="4">
        <v>52201</v>
      </c>
      <c r="E819" s="16">
        <v>9079</v>
      </c>
      <c r="F819" s="8">
        <v>0</v>
      </c>
      <c r="G819" s="8">
        <f t="shared" si="23"/>
        <v>9079</v>
      </c>
    </row>
    <row r="820" spans="1:7" x14ac:dyDescent="0.25">
      <c r="E820" s="49" t="s">
        <v>13</v>
      </c>
      <c r="F820" s="49"/>
      <c r="G820" s="9">
        <f>SUM(G800:G819)</f>
        <v>685275</v>
      </c>
    </row>
    <row r="822" spans="1:7" x14ac:dyDescent="0.25">
      <c r="A822" s="1" t="s">
        <v>90</v>
      </c>
    </row>
    <row r="823" spans="1:7" x14ac:dyDescent="0.25">
      <c r="A823" s="2" t="s">
        <v>2</v>
      </c>
      <c r="B823" s="2"/>
      <c r="C823" s="2" t="s">
        <v>3</v>
      </c>
      <c r="D823" s="2"/>
      <c r="E823" s="48"/>
      <c r="F823" s="48"/>
      <c r="G823" s="48"/>
    </row>
    <row r="824" spans="1:7" x14ac:dyDescent="0.25">
      <c r="A824" s="2" t="s">
        <v>4</v>
      </c>
      <c r="B824" s="2"/>
      <c r="C824" s="2" t="s">
        <v>5</v>
      </c>
      <c r="D824" s="2" t="s">
        <v>6</v>
      </c>
      <c r="E824" s="2" t="s">
        <v>7</v>
      </c>
      <c r="F824" s="2" t="s">
        <v>8</v>
      </c>
      <c r="G824" s="2" t="s">
        <v>9</v>
      </c>
    </row>
    <row r="825" spans="1:7" x14ac:dyDescent="0.25">
      <c r="A825" s="4">
        <v>181</v>
      </c>
      <c r="B825" s="4" t="s">
        <v>91</v>
      </c>
      <c r="C825" s="4">
        <v>2026</v>
      </c>
      <c r="D825" s="4">
        <v>51101</v>
      </c>
      <c r="E825" s="8">
        <v>0</v>
      </c>
      <c r="F825" s="8">
        <v>82503</v>
      </c>
      <c r="G825" s="8">
        <f>E825-F825</f>
        <v>-82503</v>
      </c>
    </row>
    <row r="826" spans="1:7" x14ac:dyDescent="0.25">
      <c r="A826" s="4">
        <v>181</v>
      </c>
      <c r="B826" s="4" t="s">
        <v>91</v>
      </c>
      <c r="C826" s="4">
        <v>2026</v>
      </c>
      <c r="D826" s="4">
        <v>52101</v>
      </c>
      <c r="E826" s="8">
        <v>0</v>
      </c>
      <c r="F826" s="8">
        <v>4769</v>
      </c>
      <c r="G826" s="8">
        <f>E826-F826</f>
        <v>-4769</v>
      </c>
    </row>
    <row r="827" spans="1:7" x14ac:dyDescent="0.25">
      <c r="A827" s="4">
        <v>181</v>
      </c>
      <c r="B827" s="4" t="s">
        <v>91</v>
      </c>
      <c r="C827" s="4">
        <v>2026</v>
      </c>
      <c r="D827" s="4">
        <v>52111</v>
      </c>
      <c r="E827" s="8">
        <v>0</v>
      </c>
      <c r="F827" s="8">
        <v>2605</v>
      </c>
      <c r="G827" s="8">
        <f>E827-F827</f>
        <v>-2605</v>
      </c>
    </row>
    <row r="828" spans="1:7" x14ac:dyDescent="0.25">
      <c r="A828" s="4">
        <v>181</v>
      </c>
      <c r="B828" s="4" t="s">
        <v>91</v>
      </c>
      <c r="C828" s="4">
        <v>2026</v>
      </c>
      <c r="D828" s="4">
        <v>52201</v>
      </c>
      <c r="E828" s="8">
        <v>0</v>
      </c>
      <c r="F828" s="8">
        <v>5115</v>
      </c>
      <c r="G828" s="8">
        <f t="shared" ref="G828:G844" si="24">E828-F828</f>
        <v>-5115</v>
      </c>
    </row>
    <row r="829" spans="1:7" x14ac:dyDescent="0.25">
      <c r="A829" s="4">
        <v>181</v>
      </c>
      <c r="B829" s="4" t="s">
        <v>91</v>
      </c>
      <c r="C829" s="4">
        <v>2027</v>
      </c>
      <c r="D829" s="4">
        <v>51101</v>
      </c>
      <c r="E829" s="8">
        <v>0</v>
      </c>
      <c r="F829" s="8">
        <v>166650</v>
      </c>
      <c r="G829" s="8">
        <f t="shared" si="24"/>
        <v>-166650</v>
      </c>
    </row>
    <row r="830" spans="1:7" x14ac:dyDescent="0.25">
      <c r="A830" s="4">
        <v>181</v>
      </c>
      <c r="B830" s="4" t="s">
        <v>91</v>
      </c>
      <c r="C830" s="4">
        <v>2027</v>
      </c>
      <c r="D830" s="4">
        <v>52101</v>
      </c>
      <c r="E830" s="8">
        <v>0</v>
      </c>
      <c r="F830" s="8">
        <f>9539+296</f>
        <v>9835</v>
      </c>
      <c r="G830" s="8">
        <f t="shared" si="24"/>
        <v>-9835</v>
      </c>
    </row>
    <row r="831" spans="1:7" x14ac:dyDescent="0.25">
      <c r="A831" s="4">
        <v>181</v>
      </c>
      <c r="B831" s="4" t="s">
        <v>91</v>
      </c>
      <c r="C831" s="4">
        <v>2027</v>
      </c>
      <c r="D831" s="4">
        <v>52111</v>
      </c>
      <c r="E831" s="8">
        <v>0</v>
      </c>
      <c r="F831" s="8">
        <v>5260</v>
      </c>
      <c r="G831" s="8">
        <f t="shared" si="24"/>
        <v>-5260</v>
      </c>
    </row>
    <row r="832" spans="1:7" x14ac:dyDescent="0.25">
      <c r="A832" s="4">
        <v>181</v>
      </c>
      <c r="B832" s="4" t="s">
        <v>91</v>
      </c>
      <c r="C832" s="4">
        <v>2027</v>
      </c>
      <c r="D832" s="4">
        <v>52201</v>
      </c>
      <c r="E832" s="8">
        <v>0</v>
      </c>
      <c r="F832" s="8">
        <v>10332</v>
      </c>
      <c r="G832" s="8">
        <f t="shared" si="24"/>
        <v>-10332</v>
      </c>
    </row>
    <row r="833" spans="1:7" x14ac:dyDescent="0.25">
      <c r="A833" s="4">
        <v>181</v>
      </c>
      <c r="B833" s="4" t="s">
        <v>91</v>
      </c>
      <c r="C833" s="4">
        <v>2028</v>
      </c>
      <c r="D833" s="4">
        <v>51101</v>
      </c>
      <c r="E833" s="8">
        <v>0</v>
      </c>
      <c r="F833" s="8">
        <v>168314</v>
      </c>
      <c r="G833" s="8">
        <f t="shared" si="24"/>
        <v>-168314</v>
      </c>
    </row>
    <row r="834" spans="1:7" x14ac:dyDescent="0.25">
      <c r="A834" s="4">
        <v>181</v>
      </c>
      <c r="B834" s="4" t="s">
        <v>91</v>
      </c>
      <c r="C834" s="4">
        <v>2028</v>
      </c>
      <c r="D834" s="4">
        <v>52101</v>
      </c>
      <c r="E834" s="8">
        <v>0</v>
      </c>
      <c r="F834" s="8">
        <f>9539+601</f>
        <v>10140</v>
      </c>
      <c r="G834" s="8">
        <f t="shared" si="24"/>
        <v>-10140</v>
      </c>
    </row>
    <row r="835" spans="1:7" x14ac:dyDescent="0.25">
      <c r="A835" s="4">
        <v>181</v>
      </c>
      <c r="B835" s="4" t="s">
        <v>91</v>
      </c>
      <c r="C835" s="4">
        <v>2028</v>
      </c>
      <c r="D835" s="4">
        <v>52111</v>
      </c>
      <c r="E835" s="8">
        <v>0</v>
      </c>
      <c r="F835" s="8">
        <v>5312</v>
      </c>
      <c r="G835" s="8">
        <f t="shared" si="24"/>
        <v>-5312</v>
      </c>
    </row>
    <row r="836" spans="1:7" x14ac:dyDescent="0.25">
      <c r="A836" s="4">
        <v>181</v>
      </c>
      <c r="B836" s="4" t="s">
        <v>91</v>
      </c>
      <c r="C836" s="4">
        <v>2028</v>
      </c>
      <c r="D836" s="4">
        <v>52201</v>
      </c>
      <c r="E836" s="8">
        <v>0</v>
      </c>
      <c r="F836" s="8">
        <v>10435</v>
      </c>
      <c r="G836" s="8">
        <f t="shared" si="24"/>
        <v>-10435</v>
      </c>
    </row>
    <row r="837" spans="1:7" x14ac:dyDescent="0.25">
      <c r="A837" s="4">
        <v>181</v>
      </c>
      <c r="B837" s="4" t="s">
        <v>91</v>
      </c>
      <c r="C837" s="4">
        <v>2029</v>
      </c>
      <c r="D837" s="4">
        <v>51101</v>
      </c>
      <c r="E837" s="8">
        <v>0</v>
      </c>
      <c r="F837" s="8">
        <v>169998</v>
      </c>
      <c r="G837" s="8">
        <f t="shared" si="24"/>
        <v>-169998</v>
      </c>
    </row>
    <row r="838" spans="1:7" x14ac:dyDescent="0.25">
      <c r="A838" s="4">
        <v>181</v>
      </c>
      <c r="B838" s="4" t="s">
        <v>91</v>
      </c>
      <c r="C838" s="4">
        <v>2029</v>
      </c>
      <c r="D838" s="4">
        <v>52101</v>
      </c>
      <c r="E838" s="8">
        <v>0</v>
      </c>
      <c r="F838" s="8">
        <f>9539+915</f>
        <v>10454</v>
      </c>
      <c r="G838" s="8">
        <f t="shared" si="24"/>
        <v>-10454</v>
      </c>
    </row>
    <row r="839" spans="1:7" x14ac:dyDescent="0.25">
      <c r="A839" s="4">
        <v>181</v>
      </c>
      <c r="B839" s="4" t="s">
        <v>91</v>
      </c>
      <c r="C839" s="4">
        <v>2029</v>
      </c>
      <c r="D839" s="4">
        <v>52111</v>
      </c>
      <c r="E839" s="8">
        <v>0</v>
      </c>
      <c r="F839" s="8">
        <v>5363</v>
      </c>
      <c r="G839" s="8">
        <f t="shared" si="24"/>
        <v>-5363</v>
      </c>
    </row>
    <row r="840" spans="1:7" x14ac:dyDescent="0.25">
      <c r="A840" s="4">
        <v>181</v>
      </c>
      <c r="B840" s="4" t="s">
        <v>91</v>
      </c>
      <c r="C840" s="4">
        <v>2029</v>
      </c>
      <c r="D840" s="4">
        <v>52201</v>
      </c>
      <c r="E840" s="8">
        <v>0</v>
      </c>
      <c r="F840" s="8">
        <v>10540</v>
      </c>
      <c r="G840" s="8">
        <f t="shared" si="24"/>
        <v>-10540</v>
      </c>
    </row>
    <row r="841" spans="1:7" x14ac:dyDescent="0.25">
      <c r="A841" s="4">
        <v>181</v>
      </c>
      <c r="B841" s="4" t="s">
        <v>91</v>
      </c>
      <c r="C841" s="4">
        <v>2030</v>
      </c>
      <c r="D841" s="4">
        <v>51101</v>
      </c>
      <c r="E841" s="8">
        <v>0</v>
      </c>
      <c r="F841" s="8">
        <v>171704</v>
      </c>
      <c r="G841" s="8">
        <f t="shared" si="24"/>
        <v>-171704</v>
      </c>
    </row>
    <row r="842" spans="1:7" x14ac:dyDescent="0.25">
      <c r="A842" s="4">
        <v>181</v>
      </c>
      <c r="B842" s="4" t="s">
        <v>91</v>
      </c>
      <c r="C842" s="4">
        <v>2030</v>
      </c>
      <c r="D842" s="4">
        <v>52101</v>
      </c>
      <c r="E842" s="8">
        <v>0</v>
      </c>
      <c r="F842" s="8">
        <f>9539+1239</f>
        <v>10778</v>
      </c>
      <c r="G842" s="8">
        <f t="shared" si="24"/>
        <v>-10778</v>
      </c>
    </row>
    <row r="843" spans="1:7" x14ac:dyDescent="0.25">
      <c r="A843" s="4">
        <v>181</v>
      </c>
      <c r="B843" s="4" t="s">
        <v>91</v>
      </c>
      <c r="C843" s="4">
        <v>2030</v>
      </c>
      <c r="D843" s="4">
        <v>52111</v>
      </c>
      <c r="E843" s="8">
        <v>0</v>
      </c>
      <c r="F843" s="8">
        <v>5416</v>
      </c>
      <c r="G843" s="8">
        <f t="shared" si="24"/>
        <v>-5416</v>
      </c>
    </row>
    <row r="844" spans="1:7" x14ac:dyDescent="0.25">
      <c r="A844" s="4">
        <v>181</v>
      </c>
      <c r="B844" s="4" t="s">
        <v>91</v>
      </c>
      <c r="C844" s="4">
        <v>2030</v>
      </c>
      <c r="D844" s="4">
        <v>52201</v>
      </c>
      <c r="E844" s="8">
        <v>0</v>
      </c>
      <c r="F844" s="8">
        <v>10646</v>
      </c>
      <c r="G844" s="8">
        <f t="shared" si="24"/>
        <v>-10646</v>
      </c>
    </row>
    <row r="845" spans="1:7" x14ac:dyDescent="0.25">
      <c r="E845" s="49" t="s">
        <v>13</v>
      </c>
      <c r="F845" s="49"/>
      <c r="G845" s="9">
        <f>SUM(G825:G844)</f>
        <v>-876169</v>
      </c>
    </row>
    <row r="847" spans="1:7" x14ac:dyDescent="0.25">
      <c r="A847" s="1" t="s">
        <v>92</v>
      </c>
    </row>
    <row r="848" spans="1:7" x14ac:dyDescent="0.25">
      <c r="A848" s="2" t="s">
        <v>2</v>
      </c>
      <c r="B848" s="2"/>
      <c r="C848" s="2" t="s">
        <v>3</v>
      </c>
      <c r="D848" s="2"/>
      <c r="E848" s="48"/>
      <c r="F848" s="48"/>
      <c r="G848" s="48"/>
    </row>
    <row r="849" spans="1:7" x14ac:dyDescent="0.25">
      <c r="A849" s="2" t="s">
        <v>4</v>
      </c>
      <c r="B849" s="2"/>
      <c r="C849" s="2" t="s">
        <v>5</v>
      </c>
      <c r="D849" s="2" t="s">
        <v>6</v>
      </c>
      <c r="E849" s="2" t="s">
        <v>7</v>
      </c>
      <c r="F849" s="2" t="s">
        <v>8</v>
      </c>
      <c r="G849" s="2" t="s">
        <v>9</v>
      </c>
    </row>
    <row r="850" spans="1:7" x14ac:dyDescent="0.25">
      <c r="A850" s="4">
        <v>181</v>
      </c>
      <c r="B850" s="4" t="s">
        <v>91</v>
      </c>
      <c r="C850" s="4">
        <v>2026</v>
      </c>
      <c r="D850" s="4">
        <v>53901</v>
      </c>
      <c r="E850" s="8">
        <v>0</v>
      </c>
      <c r="F850" s="8">
        <v>103186</v>
      </c>
      <c r="G850" s="8">
        <f>E850-F850</f>
        <v>-103186</v>
      </c>
    </row>
    <row r="851" spans="1:7" x14ac:dyDescent="0.25">
      <c r="A851" s="4">
        <v>181</v>
      </c>
      <c r="B851" s="4" t="s">
        <v>91</v>
      </c>
      <c r="C851" s="4">
        <v>2027</v>
      </c>
      <c r="D851" s="4">
        <v>53901</v>
      </c>
      <c r="E851" s="8">
        <v>0</v>
      </c>
      <c r="F851" s="8">
        <v>208646</v>
      </c>
      <c r="G851" s="8">
        <f>E851-F851</f>
        <v>-208646</v>
      </c>
    </row>
    <row r="852" spans="1:7" x14ac:dyDescent="0.25">
      <c r="A852" s="4">
        <v>181</v>
      </c>
      <c r="B852" s="4" t="s">
        <v>91</v>
      </c>
      <c r="C852" s="4">
        <v>2028</v>
      </c>
      <c r="D852" s="4">
        <v>53901</v>
      </c>
      <c r="E852" s="8">
        <v>0</v>
      </c>
      <c r="F852" s="8">
        <v>210919</v>
      </c>
      <c r="G852" s="8">
        <f>E852-F852</f>
        <v>-210919</v>
      </c>
    </row>
    <row r="853" spans="1:7" x14ac:dyDescent="0.25">
      <c r="A853" s="4">
        <v>181</v>
      </c>
      <c r="B853" s="4" t="s">
        <v>91</v>
      </c>
      <c r="C853" s="4">
        <v>2029</v>
      </c>
      <c r="D853" s="4">
        <v>53901</v>
      </c>
      <c r="E853" s="8">
        <v>0</v>
      </c>
      <c r="F853" s="8">
        <v>213243</v>
      </c>
      <c r="G853" s="8">
        <f>E853-F853</f>
        <v>-213243</v>
      </c>
    </row>
    <row r="854" spans="1:7" x14ac:dyDescent="0.25">
      <c r="A854" s="4">
        <v>181</v>
      </c>
      <c r="B854" s="4" t="s">
        <v>91</v>
      </c>
      <c r="C854" s="4">
        <v>2030</v>
      </c>
      <c r="D854" s="4">
        <v>53901</v>
      </c>
      <c r="E854" s="8">
        <v>0</v>
      </c>
      <c r="F854" s="8">
        <v>215590</v>
      </c>
      <c r="G854" s="8">
        <f>E854-F854</f>
        <v>-215590</v>
      </c>
    </row>
    <row r="855" spans="1:7" x14ac:dyDescent="0.25">
      <c r="E855" s="49" t="s">
        <v>13</v>
      </c>
      <c r="F855" s="49"/>
      <c r="G855" s="9">
        <f>SUM(G850:G854)</f>
        <v>-951584</v>
      </c>
    </row>
    <row r="857" spans="1:7" x14ac:dyDescent="0.25">
      <c r="A857" s="1" t="s">
        <v>93</v>
      </c>
    </row>
    <row r="858" spans="1:7" x14ac:dyDescent="0.25">
      <c r="A858" s="2" t="s">
        <v>2</v>
      </c>
      <c r="B858" s="2"/>
      <c r="C858" s="2" t="s">
        <v>3</v>
      </c>
      <c r="D858" s="2"/>
      <c r="E858" s="53"/>
      <c r="F858" s="54"/>
      <c r="G858" s="55"/>
    </row>
    <row r="859" spans="1:7" x14ac:dyDescent="0.25">
      <c r="A859" s="2" t="s">
        <v>4</v>
      </c>
      <c r="B859" s="2"/>
      <c r="C859" s="2" t="s">
        <v>5</v>
      </c>
      <c r="D859" s="2" t="s">
        <v>6</v>
      </c>
      <c r="E859" s="2" t="s">
        <v>7</v>
      </c>
      <c r="F859" s="2" t="s">
        <v>8</v>
      </c>
      <c r="G859" s="2" t="s">
        <v>9</v>
      </c>
    </row>
    <row r="860" spans="1:7" x14ac:dyDescent="0.25">
      <c r="A860" s="4">
        <v>135</v>
      </c>
      <c r="B860" s="4" t="s">
        <v>20</v>
      </c>
      <c r="C860" s="4">
        <v>2026</v>
      </c>
      <c r="D860" s="4">
        <v>52121</v>
      </c>
      <c r="E860" s="8">
        <v>0</v>
      </c>
      <c r="F860" s="8">
        <v>90000</v>
      </c>
      <c r="G860" s="8">
        <f>E860-F860</f>
        <v>-90000</v>
      </c>
    </row>
    <row r="861" spans="1:7" x14ac:dyDescent="0.25">
      <c r="E861" s="47" t="s">
        <v>13</v>
      </c>
      <c r="F861" s="47"/>
      <c r="G861" s="9">
        <f>SUM(G860:G860)</f>
        <v>-90000</v>
      </c>
    </row>
    <row r="863" spans="1:7" x14ac:dyDescent="0.25">
      <c r="A863" s="1" t="s">
        <v>94</v>
      </c>
    </row>
    <row r="864" spans="1:7" x14ac:dyDescent="0.25">
      <c r="A864" s="2" t="s">
        <v>2</v>
      </c>
      <c r="B864" s="2"/>
      <c r="C864" s="2" t="s">
        <v>3</v>
      </c>
      <c r="D864" s="2"/>
      <c r="E864" s="53"/>
      <c r="F864" s="54"/>
      <c r="G864" s="55"/>
    </row>
    <row r="865" spans="1:7" x14ac:dyDescent="0.25">
      <c r="A865" s="2" t="s">
        <v>4</v>
      </c>
      <c r="B865" s="2"/>
      <c r="C865" s="2" t="s">
        <v>5</v>
      </c>
      <c r="D865" s="2" t="s">
        <v>6</v>
      </c>
      <c r="E865" s="2" t="s">
        <v>7</v>
      </c>
      <c r="F865" s="2" t="s">
        <v>8</v>
      </c>
      <c r="G865" s="2" t="s">
        <v>9</v>
      </c>
    </row>
    <row r="866" spans="1:7" x14ac:dyDescent="0.25">
      <c r="A866" s="4">
        <v>135</v>
      </c>
      <c r="B866" s="4" t="s">
        <v>20</v>
      </c>
      <c r="C866" s="4">
        <v>2026</v>
      </c>
      <c r="D866" s="4">
        <v>52101</v>
      </c>
      <c r="E866" s="8">
        <v>0</v>
      </c>
      <c r="F866" s="8">
        <v>324784.89</v>
      </c>
      <c r="G866" s="8">
        <f>E866-F866</f>
        <v>-324784.89</v>
      </c>
    </row>
    <row r="867" spans="1:7" x14ac:dyDescent="0.25">
      <c r="A867" s="4">
        <v>135</v>
      </c>
      <c r="B867" s="4" t="s">
        <v>20</v>
      </c>
      <c r="C867" s="4">
        <v>2027</v>
      </c>
      <c r="D867" s="4">
        <v>52101</v>
      </c>
      <c r="E867" s="8">
        <v>0</v>
      </c>
      <c r="F867" s="8">
        <v>337794.57</v>
      </c>
      <c r="G867" s="8">
        <f>E867-F867</f>
        <v>-337794.57</v>
      </c>
    </row>
    <row r="868" spans="1:7" x14ac:dyDescent="0.25">
      <c r="A868" s="4">
        <v>135</v>
      </c>
      <c r="B868" s="4" t="s">
        <v>20</v>
      </c>
      <c r="C868" s="4">
        <v>2028</v>
      </c>
      <c r="D868" s="4">
        <v>52101</v>
      </c>
      <c r="E868" s="8">
        <v>0</v>
      </c>
      <c r="F868" s="8">
        <v>351198.99</v>
      </c>
      <c r="G868" s="8">
        <f>E868-F868</f>
        <v>-351198.99</v>
      </c>
    </row>
    <row r="869" spans="1:7" x14ac:dyDescent="0.25">
      <c r="A869" s="4">
        <v>135</v>
      </c>
      <c r="B869" s="4" t="s">
        <v>20</v>
      </c>
      <c r="C869" s="4">
        <v>2029</v>
      </c>
      <c r="D869" s="4">
        <v>52101</v>
      </c>
      <c r="E869" s="8">
        <v>0</v>
      </c>
      <c r="F869" s="8">
        <v>354710.88</v>
      </c>
      <c r="G869" s="8">
        <f>E869-F869</f>
        <v>-354710.88</v>
      </c>
    </row>
    <row r="870" spans="1:7" x14ac:dyDescent="0.25">
      <c r="A870" s="4">
        <v>135</v>
      </c>
      <c r="B870" s="4" t="s">
        <v>20</v>
      </c>
      <c r="C870" s="4">
        <v>2030</v>
      </c>
      <c r="D870" s="4">
        <v>52101</v>
      </c>
      <c r="E870" s="8">
        <v>0</v>
      </c>
      <c r="F870" s="8">
        <v>358258.41</v>
      </c>
      <c r="G870" s="8">
        <f>E870-F870</f>
        <v>-358258.41</v>
      </c>
    </row>
    <row r="871" spans="1:7" x14ac:dyDescent="0.25">
      <c r="E871" s="49" t="s">
        <v>13</v>
      </c>
      <c r="F871" s="49"/>
      <c r="G871" s="9">
        <f>SUM(G866:G870)</f>
        <v>-1726747.74</v>
      </c>
    </row>
    <row r="873" spans="1:7" x14ac:dyDescent="0.25">
      <c r="A873" s="1" t="s">
        <v>95</v>
      </c>
    </row>
    <row r="874" spans="1:7" x14ac:dyDescent="0.25">
      <c r="A874" s="2" t="s">
        <v>2</v>
      </c>
      <c r="B874" s="2"/>
      <c r="C874" s="2" t="s">
        <v>3</v>
      </c>
      <c r="D874" s="2"/>
      <c r="E874" s="48"/>
      <c r="F874" s="48"/>
      <c r="G874" s="48"/>
    </row>
    <row r="875" spans="1:7" x14ac:dyDescent="0.25">
      <c r="A875" s="2" t="s">
        <v>4</v>
      </c>
      <c r="B875" s="2"/>
      <c r="C875" s="2" t="s">
        <v>5</v>
      </c>
      <c r="D875" s="2" t="s">
        <v>6</v>
      </c>
      <c r="E875" s="2" t="s">
        <v>7</v>
      </c>
      <c r="F875" s="2" t="s">
        <v>8</v>
      </c>
      <c r="G875" s="2" t="s">
        <v>9</v>
      </c>
    </row>
    <row r="876" spans="1:7" x14ac:dyDescent="0.25">
      <c r="A876" s="4">
        <v>100</v>
      </c>
      <c r="B876" s="4" t="s">
        <v>96</v>
      </c>
      <c r="C876" s="4">
        <v>2026</v>
      </c>
      <c r="D876" s="4">
        <v>51101</v>
      </c>
      <c r="E876" s="8">
        <v>97656</v>
      </c>
      <c r="F876" s="8">
        <v>101377</v>
      </c>
      <c r="G876" s="8">
        <f t="shared" ref="G876:G890" si="25">E876-F876</f>
        <v>-3721</v>
      </c>
    </row>
    <row r="877" spans="1:7" x14ac:dyDescent="0.25">
      <c r="A877" s="4">
        <v>103</v>
      </c>
      <c r="B877" s="4" t="s">
        <v>96</v>
      </c>
      <c r="C877" s="4">
        <v>2026</v>
      </c>
      <c r="D877" s="4">
        <v>52111</v>
      </c>
      <c r="E877" s="8">
        <f>35+149+677+724</f>
        <v>1585</v>
      </c>
      <c r="F877" s="8">
        <v>1648</v>
      </c>
      <c r="G877" s="8">
        <f t="shared" si="25"/>
        <v>-63</v>
      </c>
    </row>
    <row r="878" spans="1:7" x14ac:dyDescent="0.25">
      <c r="A878" s="4">
        <v>104</v>
      </c>
      <c r="B878" s="4" t="s">
        <v>96</v>
      </c>
      <c r="C878" s="4">
        <v>2026</v>
      </c>
      <c r="D878" s="4">
        <v>52201</v>
      </c>
      <c r="E878" s="8">
        <f>1416+6055</f>
        <v>7471</v>
      </c>
      <c r="F878" s="8">
        <v>7770</v>
      </c>
      <c r="G878" s="8">
        <f t="shared" si="25"/>
        <v>-299</v>
      </c>
    </row>
    <row r="879" spans="1:7" x14ac:dyDescent="0.25">
      <c r="A879" s="4">
        <v>105</v>
      </c>
      <c r="B879" s="4" t="s">
        <v>96</v>
      </c>
      <c r="C879" s="4">
        <v>2027</v>
      </c>
      <c r="D879" s="4">
        <v>51101</v>
      </c>
      <c r="E879" s="8">
        <v>98634</v>
      </c>
      <c r="F879" s="8">
        <v>106558</v>
      </c>
      <c r="G879" s="8">
        <f t="shared" si="25"/>
        <v>-7924</v>
      </c>
    </row>
    <row r="880" spans="1:7" x14ac:dyDescent="0.25">
      <c r="A880" s="4">
        <v>108</v>
      </c>
      <c r="B880" s="4" t="s">
        <v>96</v>
      </c>
      <c r="C880" s="4">
        <v>2027</v>
      </c>
      <c r="D880" s="4">
        <v>52111</v>
      </c>
      <c r="E880" s="8">
        <f>36+150+684+731</f>
        <v>1601</v>
      </c>
      <c r="F880" s="8">
        <f>38+162+738+790</f>
        <v>1728</v>
      </c>
      <c r="G880" s="8">
        <f t="shared" si="25"/>
        <v>-127</v>
      </c>
    </row>
    <row r="881" spans="1:7" x14ac:dyDescent="0.25">
      <c r="A881" s="4">
        <v>109</v>
      </c>
      <c r="B881" s="4" t="s">
        <v>96</v>
      </c>
      <c r="C881" s="4">
        <v>2027</v>
      </c>
      <c r="D881" s="4">
        <v>52201</v>
      </c>
      <c r="E881" s="8">
        <f>1430+6115</f>
        <v>7545</v>
      </c>
      <c r="F881" s="8">
        <f>1545+6607</f>
        <v>8152</v>
      </c>
      <c r="G881" s="8">
        <f t="shared" si="25"/>
        <v>-607</v>
      </c>
    </row>
    <row r="882" spans="1:7" x14ac:dyDescent="0.25">
      <c r="A882" s="4">
        <v>110</v>
      </c>
      <c r="B882" s="4" t="s">
        <v>96</v>
      </c>
      <c r="C882" s="4">
        <v>2028</v>
      </c>
      <c r="D882" s="4">
        <v>51101</v>
      </c>
      <c r="E882" s="8">
        <v>99611</v>
      </c>
      <c r="F882" s="8">
        <v>107619</v>
      </c>
      <c r="G882" s="8">
        <f t="shared" si="25"/>
        <v>-8008</v>
      </c>
    </row>
    <row r="883" spans="1:7" x14ac:dyDescent="0.25">
      <c r="A883" s="4">
        <v>113</v>
      </c>
      <c r="B883" s="4" t="s">
        <v>96</v>
      </c>
      <c r="C883" s="4">
        <v>2028</v>
      </c>
      <c r="D883" s="4">
        <v>52111</v>
      </c>
      <c r="E883" s="8">
        <f>36+152+690+738</f>
        <v>1616</v>
      </c>
      <c r="F883" s="8">
        <f>39+164+746+797</f>
        <v>1746</v>
      </c>
      <c r="G883" s="8">
        <f t="shared" si="25"/>
        <v>-130</v>
      </c>
    </row>
    <row r="884" spans="1:7" x14ac:dyDescent="0.25">
      <c r="A884" s="4">
        <v>114</v>
      </c>
      <c r="B884" s="4" t="s">
        <v>96</v>
      </c>
      <c r="C884" s="4">
        <v>2028</v>
      </c>
      <c r="D884" s="4">
        <v>52201</v>
      </c>
      <c r="E884" s="8">
        <f>1444+6176</f>
        <v>7620</v>
      </c>
      <c r="F884" s="8">
        <f>1560+6672</f>
        <v>8232</v>
      </c>
      <c r="G884" s="8">
        <f t="shared" si="25"/>
        <v>-612</v>
      </c>
    </row>
    <row r="885" spans="1:7" x14ac:dyDescent="0.25">
      <c r="A885" s="4">
        <v>115</v>
      </c>
      <c r="B885" s="4" t="s">
        <v>96</v>
      </c>
      <c r="C885" s="4">
        <v>2029</v>
      </c>
      <c r="D885" s="4">
        <v>51101</v>
      </c>
      <c r="E885" s="8">
        <v>100610</v>
      </c>
      <c r="F885" s="8">
        <v>108701</v>
      </c>
      <c r="G885" s="8">
        <f t="shared" si="25"/>
        <v>-8091</v>
      </c>
    </row>
    <row r="886" spans="1:7" x14ac:dyDescent="0.25">
      <c r="A886" s="4">
        <v>118</v>
      </c>
      <c r="B886" s="4" t="s">
        <v>96</v>
      </c>
      <c r="C886" s="4">
        <v>2029</v>
      </c>
      <c r="D886" s="4">
        <v>52111</v>
      </c>
      <c r="E886" s="8">
        <f>36+153+697+746</f>
        <v>1632</v>
      </c>
      <c r="F886" s="8">
        <f>39+166+753+805</f>
        <v>1763</v>
      </c>
      <c r="G886" s="8">
        <f t="shared" si="25"/>
        <v>-131</v>
      </c>
    </row>
    <row r="887" spans="1:7" x14ac:dyDescent="0.25">
      <c r="A887" s="4">
        <v>119</v>
      </c>
      <c r="B887" s="4" t="s">
        <v>96</v>
      </c>
      <c r="C887" s="4">
        <v>2029</v>
      </c>
      <c r="D887" s="4">
        <v>52201</v>
      </c>
      <c r="E887" s="8">
        <f>1459+6238</f>
        <v>7697</v>
      </c>
      <c r="F887" s="8">
        <f>1576+6739</f>
        <v>8315</v>
      </c>
      <c r="G887" s="8">
        <f t="shared" si="25"/>
        <v>-618</v>
      </c>
    </row>
    <row r="888" spans="1:7" x14ac:dyDescent="0.25">
      <c r="A888" s="4">
        <v>120</v>
      </c>
      <c r="B888" s="4" t="s">
        <v>96</v>
      </c>
      <c r="C888" s="4">
        <v>2030</v>
      </c>
      <c r="D888" s="4">
        <v>51101</v>
      </c>
      <c r="E888" s="8">
        <v>101629</v>
      </c>
      <c r="F888" s="8">
        <v>109782</v>
      </c>
      <c r="G888" s="8">
        <f t="shared" si="25"/>
        <v>-8153</v>
      </c>
    </row>
    <row r="889" spans="1:7" x14ac:dyDescent="0.25">
      <c r="A889" s="4">
        <v>123</v>
      </c>
      <c r="B889" s="4" t="s">
        <v>96</v>
      </c>
      <c r="C889" s="4">
        <v>2030</v>
      </c>
      <c r="D889" s="4">
        <v>52111</v>
      </c>
      <c r="E889" s="8">
        <f>37+155+704+753</f>
        <v>1649</v>
      </c>
      <c r="F889" s="8">
        <f>40+167+761+813</f>
        <v>1781</v>
      </c>
      <c r="G889" s="8">
        <f t="shared" si="25"/>
        <v>-132</v>
      </c>
    </row>
    <row r="890" spans="1:7" x14ac:dyDescent="0.25">
      <c r="A890" s="4">
        <v>124</v>
      </c>
      <c r="B890" s="4" t="s">
        <v>96</v>
      </c>
      <c r="C890" s="4">
        <v>2030</v>
      </c>
      <c r="D890" s="4">
        <v>52201</v>
      </c>
      <c r="E890" s="8">
        <f>1474+6301</f>
        <v>7775</v>
      </c>
      <c r="F890" s="8">
        <f>1592+6807</f>
        <v>8399</v>
      </c>
      <c r="G890" s="8">
        <f t="shared" si="25"/>
        <v>-624</v>
      </c>
    </row>
    <row r="891" spans="1:7" x14ac:dyDescent="0.25">
      <c r="E891" s="49" t="s">
        <v>13</v>
      </c>
      <c r="F891" s="49"/>
      <c r="G891" s="9">
        <f>SUM(G876:G890)</f>
        <v>-39240</v>
      </c>
    </row>
    <row r="893" spans="1:7" x14ac:dyDescent="0.25">
      <c r="A893" s="1" t="s">
        <v>97</v>
      </c>
    </row>
    <row r="894" spans="1:7" x14ac:dyDescent="0.25">
      <c r="A894" s="2" t="s">
        <v>2</v>
      </c>
      <c r="B894" s="2"/>
      <c r="C894" s="2" t="s">
        <v>3</v>
      </c>
      <c r="D894" s="2"/>
      <c r="E894" s="48"/>
      <c r="F894" s="48"/>
      <c r="G894" s="48"/>
    </row>
    <row r="895" spans="1:7" x14ac:dyDescent="0.25">
      <c r="A895" s="2" t="s">
        <v>4</v>
      </c>
      <c r="B895" s="2"/>
      <c r="C895" s="2" t="s">
        <v>5</v>
      </c>
      <c r="D895" s="2" t="s">
        <v>6</v>
      </c>
      <c r="E895" s="2" t="s">
        <v>7</v>
      </c>
      <c r="F895" s="2" t="s">
        <v>8</v>
      </c>
      <c r="G895" s="2" t="s">
        <v>9</v>
      </c>
    </row>
    <row r="896" spans="1:7" x14ac:dyDescent="0.25">
      <c r="A896" s="4">
        <v>100</v>
      </c>
      <c r="B896" s="4" t="s">
        <v>96</v>
      </c>
      <c r="C896" s="4">
        <v>2026</v>
      </c>
      <c r="D896" s="4">
        <v>51101</v>
      </c>
      <c r="E896" s="8">
        <v>59301</v>
      </c>
      <c r="F896" s="8">
        <v>61921</v>
      </c>
      <c r="G896" s="8">
        <f t="shared" ref="G896:G910" si="26">E896-F896</f>
        <v>-2620</v>
      </c>
    </row>
    <row r="897" spans="1:7" x14ac:dyDescent="0.25">
      <c r="A897" s="4">
        <v>103</v>
      </c>
      <c r="B897" s="4" t="s">
        <v>96</v>
      </c>
      <c r="C897" s="4">
        <v>2026</v>
      </c>
      <c r="D897" s="4">
        <v>52111</v>
      </c>
      <c r="E897" s="8">
        <f>21+90+411+439</f>
        <v>961</v>
      </c>
      <c r="F897" s="8">
        <v>1005</v>
      </c>
      <c r="G897" s="8">
        <f t="shared" si="26"/>
        <v>-44</v>
      </c>
    </row>
    <row r="898" spans="1:7" x14ac:dyDescent="0.25">
      <c r="A898" s="4">
        <v>104</v>
      </c>
      <c r="B898" s="4" t="s">
        <v>96</v>
      </c>
      <c r="C898" s="4">
        <v>2026</v>
      </c>
      <c r="D898" s="4">
        <v>52201</v>
      </c>
      <c r="E898" s="8">
        <f>860+3677</f>
        <v>4537</v>
      </c>
      <c r="F898" s="8">
        <v>4737</v>
      </c>
      <c r="G898" s="8">
        <f t="shared" si="26"/>
        <v>-200</v>
      </c>
    </row>
    <row r="899" spans="1:7" x14ac:dyDescent="0.25">
      <c r="A899" s="4">
        <v>105</v>
      </c>
      <c r="B899" s="4" t="s">
        <v>96</v>
      </c>
      <c r="C899" s="4">
        <v>2027</v>
      </c>
      <c r="D899" s="4">
        <v>51101</v>
      </c>
      <c r="E899" s="8">
        <v>59904</v>
      </c>
      <c r="F899" s="8">
        <v>65187</v>
      </c>
      <c r="G899" s="8">
        <f t="shared" si="26"/>
        <v>-5283</v>
      </c>
    </row>
    <row r="900" spans="1:7" x14ac:dyDescent="0.25">
      <c r="A900" s="4">
        <v>108</v>
      </c>
      <c r="B900" s="4" t="s">
        <v>96</v>
      </c>
      <c r="C900" s="4">
        <v>2027</v>
      </c>
      <c r="D900" s="4">
        <v>52111</v>
      </c>
      <c r="E900" s="8">
        <f>22+91+415+444</f>
        <v>972</v>
      </c>
      <c r="F900" s="8">
        <f>23+99+452+483</f>
        <v>1057</v>
      </c>
      <c r="G900" s="8">
        <f t="shared" si="26"/>
        <v>-85</v>
      </c>
    </row>
    <row r="901" spans="1:7" x14ac:dyDescent="0.25">
      <c r="A901" s="4">
        <v>109</v>
      </c>
      <c r="B901" s="4" t="s">
        <v>96</v>
      </c>
      <c r="C901" s="4">
        <v>2027</v>
      </c>
      <c r="D901" s="4">
        <v>52201</v>
      </c>
      <c r="E901" s="8">
        <f>869+3714</f>
        <v>4583</v>
      </c>
      <c r="F901" s="8">
        <f>945+4042</f>
        <v>4987</v>
      </c>
      <c r="G901" s="8">
        <f t="shared" si="26"/>
        <v>-404</v>
      </c>
    </row>
    <row r="902" spans="1:7" x14ac:dyDescent="0.25">
      <c r="A902" s="4">
        <v>110</v>
      </c>
      <c r="B902" s="4" t="s">
        <v>96</v>
      </c>
      <c r="C902" s="4">
        <v>2028</v>
      </c>
      <c r="D902" s="4">
        <v>51101</v>
      </c>
      <c r="E902" s="8">
        <v>60486</v>
      </c>
      <c r="F902" s="8">
        <v>65832</v>
      </c>
      <c r="G902" s="8">
        <f t="shared" si="26"/>
        <v>-5346</v>
      </c>
    </row>
    <row r="903" spans="1:7" x14ac:dyDescent="0.25">
      <c r="A903" s="4">
        <v>113</v>
      </c>
      <c r="B903" s="4" t="s">
        <v>96</v>
      </c>
      <c r="C903" s="4">
        <v>2028</v>
      </c>
      <c r="D903" s="4">
        <v>52111</v>
      </c>
      <c r="E903" s="8">
        <f>22+92+419+448</f>
        <v>981</v>
      </c>
      <c r="F903" s="8">
        <f>24+100+455+488</f>
        <v>1067</v>
      </c>
      <c r="G903" s="8">
        <f t="shared" si="26"/>
        <v>-86</v>
      </c>
    </row>
    <row r="904" spans="1:7" x14ac:dyDescent="0.25">
      <c r="A904" s="4">
        <v>114</v>
      </c>
      <c r="B904" s="4" t="s">
        <v>96</v>
      </c>
      <c r="C904" s="4">
        <v>2028</v>
      </c>
      <c r="D904" s="4">
        <v>52201</v>
      </c>
      <c r="E904" s="8">
        <f>877+3750</f>
        <v>4627</v>
      </c>
      <c r="F904" s="8">
        <f>955+4082</f>
        <v>5037</v>
      </c>
      <c r="G904" s="8">
        <f t="shared" si="26"/>
        <v>-410</v>
      </c>
    </row>
    <row r="905" spans="1:7" x14ac:dyDescent="0.25">
      <c r="A905" s="4">
        <v>115</v>
      </c>
      <c r="B905" s="4" t="s">
        <v>96</v>
      </c>
      <c r="C905" s="4">
        <v>2029</v>
      </c>
      <c r="D905" s="4">
        <v>51101</v>
      </c>
      <c r="E905" s="8">
        <v>61090</v>
      </c>
      <c r="F905" s="8">
        <v>66498</v>
      </c>
      <c r="G905" s="8">
        <f t="shared" si="26"/>
        <v>-5408</v>
      </c>
    </row>
    <row r="906" spans="1:7" x14ac:dyDescent="0.25">
      <c r="A906" s="4">
        <v>118</v>
      </c>
      <c r="B906" s="4" t="s">
        <v>96</v>
      </c>
      <c r="C906" s="4">
        <v>2029</v>
      </c>
      <c r="D906" s="4">
        <v>52111</v>
      </c>
      <c r="E906" s="8">
        <f>22+93+423+453</f>
        <v>991</v>
      </c>
      <c r="F906" s="8">
        <f>24+101+461+493</f>
        <v>1079</v>
      </c>
      <c r="G906" s="8">
        <f t="shared" si="26"/>
        <v>-88</v>
      </c>
    </row>
    <row r="907" spans="1:7" x14ac:dyDescent="0.25">
      <c r="A907" s="4">
        <v>119</v>
      </c>
      <c r="B907" s="4" t="s">
        <v>96</v>
      </c>
      <c r="C907" s="4">
        <v>2029</v>
      </c>
      <c r="D907" s="4">
        <v>52201</v>
      </c>
      <c r="E907" s="8">
        <f>886+3788</f>
        <v>4674</v>
      </c>
      <c r="F907" s="8">
        <f>964+4123</f>
        <v>5087</v>
      </c>
      <c r="G907" s="8">
        <f t="shared" si="26"/>
        <v>-413</v>
      </c>
    </row>
    <row r="908" spans="1:7" x14ac:dyDescent="0.25">
      <c r="A908" s="4">
        <v>120</v>
      </c>
      <c r="B908" s="4" t="s">
        <v>96</v>
      </c>
      <c r="C908" s="4">
        <v>2030</v>
      </c>
      <c r="D908" s="4">
        <v>51101</v>
      </c>
      <c r="E908" s="8">
        <v>61714</v>
      </c>
      <c r="F908" s="8">
        <v>67163</v>
      </c>
      <c r="G908" s="8">
        <f t="shared" si="26"/>
        <v>-5449</v>
      </c>
    </row>
    <row r="909" spans="1:7" x14ac:dyDescent="0.25">
      <c r="A909" s="4">
        <v>123</v>
      </c>
      <c r="B909" s="4" t="s">
        <v>96</v>
      </c>
      <c r="C909" s="4">
        <v>2030</v>
      </c>
      <c r="D909" s="4">
        <v>52111</v>
      </c>
      <c r="E909" s="8">
        <f>22+94+428+457</f>
        <v>1001</v>
      </c>
      <c r="F909" s="8">
        <f>24+102+465+498</f>
        <v>1089</v>
      </c>
      <c r="G909" s="8">
        <f t="shared" si="26"/>
        <v>-88</v>
      </c>
    </row>
    <row r="910" spans="1:7" x14ac:dyDescent="0.25">
      <c r="A910" s="4">
        <v>124</v>
      </c>
      <c r="B910" s="4" t="s">
        <v>96</v>
      </c>
      <c r="C910" s="4">
        <v>2030</v>
      </c>
      <c r="D910" s="4">
        <v>52201</v>
      </c>
      <c r="E910" s="8">
        <f>895+3826</f>
        <v>4721</v>
      </c>
      <c r="F910" s="8">
        <f>974+4164</f>
        <v>5138</v>
      </c>
      <c r="G910" s="8">
        <f t="shared" si="26"/>
        <v>-417</v>
      </c>
    </row>
    <row r="911" spans="1:7" x14ac:dyDescent="0.25">
      <c r="E911" s="49" t="s">
        <v>13</v>
      </c>
      <c r="F911" s="49"/>
      <c r="G911" s="9">
        <f>SUM(G896:G910)</f>
        <v>-26341</v>
      </c>
    </row>
    <row r="913" spans="1:7" x14ac:dyDescent="0.25">
      <c r="A913" s="1" t="s">
        <v>98</v>
      </c>
    </row>
    <row r="914" spans="1:7" x14ac:dyDescent="0.25">
      <c r="A914" s="2" t="s">
        <v>2</v>
      </c>
      <c r="B914" s="2"/>
      <c r="C914" s="2" t="s">
        <v>3</v>
      </c>
      <c r="D914" s="2"/>
      <c r="E914" s="48"/>
      <c r="F914" s="48"/>
      <c r="G914" s="48"/>
    </row>
    <row r="915" spans="1:7" x14ac:dyDescent="0.25">
      <c r="A915" s="2" t="s">
        <v>4</v>
      </c>
      <c r="B915" s="2"/>
      <c r="C915" s="2" t="s">
        <v>5</v>
      </c>
      <c r="D915" s="2" t="s">
        <v>6</v>
      </c>
      <c r="E915" s="2" t="s">
        <v>7</v>
      </c>
      <c r="F915" s="2" t="s">
        <v>8</v>
      </c>
      <c r="G915" s="2" t="s">
        <v>9</v>
      </c>
    </row>
    <row r="916" spans="1:7" x14ac:dyDescent="0.25">
      <c r="A916" s="4" t="s">
        <v>32</v>
      </c>
      <c r="B916" s="4" t="s">
        <v>32</v>
      </c>
      <c r="C916" s="4">
        <v>2026</v>
      </c>
      <c r="D916" s="4">
        <v>51201</v>
      </c>
      <c r="E916" s="8">
        <v>0</v>
      </c>
      <c r="F916" s="8">
        <v>53500</v>
      </c>
      <c r="G916" s="8">
        <f>E916-F916</f>
        <v>-53500</v>
      </c>
    </row>
    <row r="917" spans="1:7" x14ac:dyDescent="0.25">
      <c r="A917" s="4" t="s">
        <v>32</v>
      </c>
      <c r="B917" s="4" t="s">
        <v>32</v>
      </c>
      <c r="C917" s="4">
        <v>2027</v>
      </c>
      <c r="D917" s="4">
        <v>51201</v>
      </c>
      <c r="E917" s="8">
        <v>0</v>
      </c>
      <c r="F917" s="8">
        <v>59500</v>
      </c>
      <c r="G917" s="8">
        <f>E917-F917</f>
        <v>-59500</v>
      </c>
    </row>
    <row r="918" spans="1:7" x14ac:dyDescent="0.25">
      <c r="A918" s="4" t="s">
        <v>32</v>
      </c>
      <c r="B918" s="4" t="s">
        <v>32</v>
      </c>
      <c r="C918" s="4">
        <v>2028</v>
      </c>
      <c r="D918" s="4">
        <v>51201</v>
      </c>
      <c r="E918" s="8">
        <v>0</v>
      </c>
      <c r="F918" s="8">
        <v>66000</v>
      </c>
      <c r="G918" s="8">
        <f>E918-F918</f>
        <v>-66000</v>
      </c>
    </row>
    <row r="919" spans="1:7" x14ac:dyDescent="0.25">
      <c r="A919" s="4" t="s">
        <v>32</v>
      </c>
      <c r="B919" s="4" t="s">
        <v>32</v>
      </c>
      <c r="C919" s="4">
        <v>2029</v>
      </c>
      <c r="D919" s="4">
        <v>51201</v>
      </c>
      <c r="E919" s="8">
        <v>0</v>
      </c>
      <c r="F919" s="8">
        <v>80500</v>
      </c>
      <c r="G919" s="8">
        <f>E919-F919</f>
        <v>-80500</v>
      </c>
    </row>
    <row r="920" spans="1:7" x14ac:dyDescent="0.25">
      <c r="A920" s="4" t="s">
        <v>32</v>
      </c>
      <c r="B920" s="4" t="s">
        <v>32</v>
      </c>
      <c r="C920" s="4">
        <v>2030</v>
      </c>
      <c r="D920" s="4">
        <v>51201</v>
      </c>
      <c r="E920" s="8">
        <v>0</v>
      </c>
      <c r="F920" s="8">
        <v>84500</v>
      </c>
      <c r="G920" s="8">
        <f>E920-F920</f>
        <v>-84500</v>
      </c>
    </row>
    <row r="921" spans="1:7" x14ac:dyDescent="0.25">
      <c r="E921" s="49" t="s">
        <v>13</v>
      </c>
      <c r="F921" s="49"/>
      <c r="G921" s="9">
        <f>SUM(G916:G920)</f>
        <v>-344000</v>
      </c>
    </row>
    <row r="923" spans="1:7" x14ac:dyDescent="0.25">
      <c r="A923" s="1" t="s">
        <v>99</v>
      </c>
    </row>
    <row r="924" spans="1:7" x14ac:dyDescent="0.25">
      <c r="A924" s="2" t="s">
        <v>2</v>
      </c>
      <c r="B924" s="2"/>
      <c r="C924" s="2" t="s">
        <v>3</v>
      </c>
      <c r="D924" s="2"/>
      <c r="E924" s="48"/>
      <c r="F924" s="48"/>
      <c r="G924" s="48"/>
    </row>
    <row r="925" spans="1:7" x14ac:dyDescent="0.25">
      <c r="A925" s="2" t="s">
        <v>4</v>
      </c>
      <c r="B925" s="2"/>
      <c r="C925" s="2" t="s">
        <v>5</v>
      </c>
      <c r="D925" s="2" t="s">
        <v>6</v>
      </c>
      <c r="E925" s="2" t="s">
        <v>7</v>
      </c>
      <c r="F925" s="2" t="s">
        <v>8</v>
      </c>
      <c r="G925" s="2" t="s">
        <v>9</v>
      </c>
    </row>
    <row r="926" spans="1:7" x14ac:dyDescent="0.25">
      <c r="A926" s="4" t="s">
        <v>32</v>
      </c>
      <c r="B926" s="4" t="s">
        <v>32</v>
      </c>
      <c r="C926" s="4">
        <v>2026</v>
      </c>
      <c r="D926" s="4">
        <v>52101</v>
      </c>
      <c r="E926" s="8">
        <v>0</v>
      </c>
      <c r="F926" s="8">
        <v>40000</v>
      </c>
      <c r="G926" s="8">
        <f>E926-F926</f>
        <v>-40000</v>
      </c>
    </row>
    <row r="927" spans="1:7" x14ac:dyDescent="0.25">
      <c r="A927" s="4" t="s">
        <v>32</v>
      </c>
      <c r="B927" s="4" t="s">
        <v>32</v>
      </c>
      <c r="C927" s="4">
        <v>2027</v>
      </c>
      <c r="D927" s="4">
        <v>52101</v>
      </c>
      <c r="E927" s="8">
        <v>0</v>
      </c>
      <c r="F927" s="8">
        <v>40000</v>
      </c>
      <c r="G927" s="8">
        <f>E927-F927</f>
        <v>-40000</v>
      </c>
    </row>
    <row r="928" spans="1:7" x14ac:dyDescent="0.25">
      <c r="A928" s="4" t="s">
        <v>32</v>
      </c>
      <c r="B928" s="4" t="s">
        <v>32</v>
      </c>
      <c r="C928" s="4">
        <v>2028</v>
      </c>
      <c r="D928" s="4">
        <v>52101</v>
      </c>
      <c r="E928" s="8">
        <v>0</v>
      </c>
      <c r="F928" s="8">
        <v>40000</v>
      </c>
      <c r="G928" s="8">
        <f>E928-F928</f>
        <v>-40000</v>
      </c>
    </row>
    <row r="929" spans="1:7" x14ac:dyDescent="0.25">
      <c r="A929" s="4" t="s">
        <v>32</v>
      </c>
      <c r="B929" s="4" t="s">
        <v>32</v>
      </c>
      <c r="C929" s="4">
        <v>2029</v>
      </c>
      <c r="D929" s="4">
        <v>52101</v>
      </c>
      <c r="E929" s="8">
        <v>0</v>
      </c>
      <c r="F929" s="8">
        <v>40000</v>
      </c>
      <c r="G929" s="8">
        <f>E929-F929</f>
        <v>-40000</v>
      </c>
    </row>
    <row r="930" spans="1:7" x14ac:dyDescent="0.25">
      <c r="A930" s="4" t="s">
        <v>32</v>
      </c>
      <c r="B930" s="4" t="s">
        <v>32</v>
      </c>
      <c r="C930" s="4">
        <v>2030</v>
      </c>
      <c r="D930" s="4">
        <v>52101</v>
      </c>
      <c r="E930" s="8">
        <v>0</v>
      </c>
      <c r="F930" s="8">
        <v>40000</v>
      </c>
      <c r="G930" s="8">
        <f>E930-F930</f>
        <v>-40000</v>
      </c>
    </row>
    <row r="931" spans="1:7" x14ac:dyDescent="0.25">
      <c r="E931" s="49" t="s">
        <v>13</v>
      </c>
      <c r="F931" s="49"/>
      <c r="G931" s="9">
        <f>SUM(G926:G930)</f>
        <v>-200000</v>
      </c>
    </row>
    <row r="933" spans="1:7" x14ac:dyDescent="0.25">
      <c r="A933" s="1" t="s">
        <v>100</v>
      </c>
    </row>
    <row r="934" spans="1:7" x14ac:dyDescent="0.25">
      <c r="A934" s="2" t="s">
        <v>2</v>
      </c>
      <c r="B934" s="2"/>
      <c r="C934" s="2" t="s">
        <v>3</v>
      </c>
      <c r="D934" s="2"/>
      <c r="E934" s="48"/>
      <c r="F934" s="48"/>
      <c r="G934" s="48"/>
    </row>
    <row r="935" spans="1:7" x14ac:dyDescent="0.25">
      <c r="A935" s="2" t="s">
        <v>4</v>
      </c>
      <c r="B935" s="2"/>
      <c r="C935" s="2" t="s">
        <v>5</v>
      </c>
      <c r="D935" s="2" t="s">
        <v>6</v>
      </c>
      <c r="E935" s="2" t="s">
        <v>7</v>
      </c>
      <c r="F935" s="2" t="s">
        <v>8</v>
      </c>
      <c r="G935" s="2" t="s">
        <v>9</v>
      </c>
    </row>
    <row r="936" spans="1:7" x14ac:dyDescent="0.25">
      <c r="A936" s="4">
        <v>31</v>
      </c>
      <c r="B936" s="4" t="s">
        <v>101</v>
      </c>
      <c r="C936" s="4">
        <v>2026</v>
      </c>
      <c r="D936" s="4" t="s">
        <v>29</v>
      </c>
      <c r="E936" s="8">
        <v>21000000</v>
      </c>
      <c r="F936" s="8">
        <v>21000000</v>
      </c>
      <c r="G936" s="8">
        <f>E936-F936</f>
        <v>0</v>
      </c>
    </row>
    <row r="937" spans="1:7" x14ac:dyDescent="0.25">
      <c r="A937" s="4">
        <v>32</v>
      </c>
      <c r="B937" s="4" t="s">
        <v>101</v>
      </c>
      <c r="C937" s="4">
        <v>2027</v>
      </c>
      <c r="D937" s="4" t="s">
        <v>29</v>
      </c>
      <c r="E937" s="8">
        <v>8000000</v>
      </c>
      <c r="F937" s="8">
        <v>8000000</v>
      </c>
      <c r="G937" s="8">
        <f>E937-F937</f>
        <v>0</v>
      </c>
    </row>
    <row r="938" spans="1:7" x14ac:dyDescent="0.25">
      <c r="A938" s="4">
        <v>33</v>
      </c>
      <c r="B938" s="4" t="s">
        <v>101</v>
      </c>
      <c r="C938" s="4">
        <v>2028</v>
      </c>
      <c r="D938" s="4" t="s">
        <v>29</v>
      </c>
      <c r="E938" s="8">
        <v>5879200</v>
      </c>
      <c r="F938" s="8">
        <f>E938+2000000</f>
        <v>7879200</v>
      </c>
      <c r="G938" s="8">
        <f>E938-F938</f>
        <v>-2000000</v>
      </c>
    </row>
    <row r="939" spans="1:7" x14ac:dyDescent="0.25">
      <c r="A939" s="4">
        <v>34</v>
      </c>
      <c r="B939" s="4" t="s">
        <v>101</v>
      </c>
      <c r="C939" s="4">
        <v>2029</v>
      </c>
      <c r="D939" s="4" t="s">
        <v>29</v>
      </c>
      <c r="E939" s="8">
        <v>5574466</v>
      </c>
      <c r="F939" s="8">
        <f>E939+2000000</f>
        <v>7574466</v>
      </c>
      <c r="G939" s="8">
        <f>E939-F939</f>
        <v>-2000000</v>
      </c>
    </row>
    <row r="940" spans="1:7" x14ac:dyDescent="0.25">
      <c r="A940" s="4">
        <v>35</v>
      </c>
      <c r="B940" s="4" t="s">
        <v>101</v>
      </c>
      <c r="C940" s="4">
        <v>2030</v>
      </c>
      <c r="D940" s="4" t="s">
        <v>29</v>
      </c>
      <c r="E940" s="8">
        <v>5579700</v>
      </c>
      <c r="F940" s="8">
        <f>E940+2000000</f>
        <v>7579700</v>
      </c>
      <c r="G940" s="8">
        <f>E940-F940</f>
        <v>-2000000</v>
      </c>
    </row>
    <row r="941" spans="1:7" x14ac:dyDescent="0.25">
      <c r="E941" s="49" t="s">
        <v>13</v>
      </c>
      <c r="F941" s="49"/>
      <c r="G941" s="9">
        <f>SUM(G936:G940)</f>
        <v>-6000000</v>
      </c>
    </row>
    <row r="943" spans="1:7" x14ac:dyDescent="0.25">
      <c r="A943" s="1" t="s">
        <v>102</v>
      </c>
    </row>
    <row r="944" spans="1:7" x14ac:dyDescent="0.25">
      <c r="A944" s="2" t="s">
        <v>2</v>
      </c>
      <c r="B944" s="2"/>
      <c r="C944" s="2" t="s">
        <v>3</v>
      </c>
      <c r="D944" s="2"/>
      <c r="E944" s="48"/>
      <c r="F944" s="48"/>
      <c r="G944" s="48"/>
    </row>
    <row r="945" spans="1:7" x14ac:dyDescent="0.25">
      <c r="A945" s="2" t="s">
        <v>4</v>
      </c>
      <c r="B945" s="2"/>
      <c r="C945" s="2" t="s">
        <v>5</v>
      </c>
      <c r="D945" s="2" t="s">
        <v>6</v>
      </c>
      <c r="E945" s="2" t="s">
        <v>7</v>
      </c>
      <c r="F945" s="2" t="s">
        <v>8</v>
      </c>
      <c r="G945" s="2" t="s">
        <v>9</v>
      </c>
    </row>
    <row r="946" spans="1:7" x14ac:dyDescent="0.25">
      <c r="A946" s="4">
        <v>31</v>
      </c>
      <c r="B946" s="4" t="s">
        <v>101</v>
      </c>
      <c r="C946" s="4">
        <v>2026</v>
      </c>
      <c r="D946" s="4"/>
      <c r="E946" s="8">
        <v>0</v>
      </c>
      <c r="F946" s="8">
        <v>6509739.5700000003</v>
      </c>
      <c r="G946" s="8">
        <f>E946-F946</f>
        <v>-6509739.5700000003</v>
      </c>
    </row>
    <row r="947" spans="1:7" x14ac:dyDescent="0.25">
      <c r="E947" s="49" t="s">
        <v>13</v>
      </c>
      <c r="F947" s="49"/>
      <c r="G947" s="9">
        <f>SUM(G943:G946)</f>
        <v>-6509739.5700000003</v>
      </c>
    </row>
    <row r="949" spans="1:7" x14ac:dyDescent="0.25">
      <c r="A949" s="1" t="s">
        <v>103</v>
      </c>
    </row>
    <row r="950" spans="1:7" x14ac:dyDescent="0.25">
      <c r="A950" s="2" t="s">
        <v>2</v>
      </c>
      <c r="B950" s="2"/>
      <c r="C950" s="2" t="s">
        <v>3</v>
      </c>
      <c r="D950" s="2"/>
      <c r="E950" s="48"/>
      <c r="F950" s="48"/>
      <c r="G950" s="48"/>
    </row>
    <row r="951" spans="1:7" x14ac:dyDescent="0.25">
      <c r="A951" s="2" t="s">
        <v>4</v>
      </c>
      <c r="B951" s="2"/>
      <c r="C951" s="2" t="s">
        <v>5</v>
      </c>
      <c r="D951" s="2" t="s">
        <v>6</v>
      </c>
      <c r="E951" s="2" t="s">
        <v>7</v>
      </c>
      <c r="F951" s="2" t="s">
        <v>8</v>
      </c>
      <c r="G951" s="2" t="s">
        <v>9</v>
      </c>
    </row>
    <row r="952" spans="1:7" x14ac:dyDescent="0.25">
      <c r="A952" s="4">
        <v>267</v>
      </c>
      <c r="B952" s="4" t="s">
        <v>104</v>
      </c>
      <c r="C952" s="4">
        <v>2026</v>
      </c>
      <c r="D952" s="4">
        <v>51101</v>
      </c>
      <c r="E952" s="13">
        <v>55702</v>
      </c>
      <c r="F952" s="8">
        <v>0</v>
      </c>
      <c r="G952" s="8">
        <f t="shared" ref="G952:G971" si="27">E952-F952</f>
        <v>55702</v>
      </c>
    </row>
    <row r="953" spans="1:7" x14ac:dyDescent="0.25">
      <c r="A953" s="4">
        <v>267</v>
      </c>
      <c r="B953" s="4" t="s">
        <v>104</v>
      </c>
      <c r="C953" s="4">
        <v>2026</v>
      </c>
      <c r="D953" s="4">
        <v>52101</v>
      </c>
      <c r="E953" s="13">
        <f>116+10731+24</f>
        <v>10871</v>
      </c>
      <c r="F953" s="8">
        <v>0</v>
      </c>
      <c r="G953" s="8">
        <f t="shared" si="27"/>
        <v>10871</v>
      </c>
    </row>
    <row r="954" spans="1:7" x14ac:dyDescent="0.25">
      <c r="A954" s="4">
        <v>267</v>
      </c>
      <c r="B954" s="4" t="s">
        <v>104</v>
      </c>
      <c r="C954" s="4">
        <v>2026</v>
      </c>
      <c r="D954" s="4">
        <v>52111</v>
      </c>
      <c r="E954" s="13">
        <f>4+18+386+413</f>
        <v>821</v>
      </c>
      <c r="F954" s="8">
        <v>0</v>
      </c>
      <c r="G954" s="8">
        <f t="shared" si="27"/>
        <v>821</v>
      </c>
    </row>
    <row r="955" spans="1:7" x14ac:dyDescent="0.25">
      <c r="A955" s="4">
        <v>267</v>
      </c>
      <c r="B955" s="4" t="s">
        <v>104</v>
      </c>
      <c r="C955" s="4">
        <v>2026</v>
      </c>
      <c r="D955" s="4">
        <v>52201</v>
      </c>
      <c r="E955" s="13">
        <f>808+3454</f>
        <v>4262</v>
      </c>
      <c r="F955" s="8">
        <v>0</v>
      </c>
      <c r="G955" s="8">
        <f t="shared" si="27"/>
        <v>4262</v>
      </c>
    </row>
    <row r="956" spans="1:7" x14ac:dyDescent="0.25">
      <c r="A956" s="4">
        <v>267</v>
      </c>
      <c r="B956" s="4" t="s">
        <v>104</v>
      </c>
      <c r="C956" s="4">
        <v>2027</v>
      </c>
      <c r="D956" s="4">
        <v>51101</v>
      </c>
      <c r="E956" s="13">
        <v>57366</v>
      </c>
      <c r="F956" s="8">
        <v>0</v>
      </c>
      <c r="G956" s="8">
        <f t="shared" si="27"/>
        <v>57366</v>
      </c>
    </row>
    <row r="957" spans="1:7" x14ac:dyDescent="0.25">
      <c r="A957" s="4">
        <v>267</v>
      </c>
      <c r="B957" s="4" t="s">
        <v>104</v>
      </c>
      <c r="C957" s="4">
        <v>2027</v>
      </c>
      <c r="D957" s="4">
        <v>52101</v>
      </c>
      <c r="E957" s="13">
        <f>116+333+10731+24</f>
        <v>11204</v>
      </c>
      <c r="F957" s="8">
        <v>0</v>
      </c>
      <c r="G957" s="8">
        <f t="shared" si="27"/>
        <v>11204</v>
      </c>
    </row>
    <row r="958" spans="1:7" x14ac:dyDescent="0.25">
      <c r="A958" s="4">
        <v>267</v>
      </c>
      <c r="B958" s="4" t="s">
        <v>104</v>
      </c>
      <c r="C958" s="4">
        <v>2027</v>
      </c>
      <c r="D958" s="4">
        <v>52111</v>
      </c>
      <c r="E958" s="13">
        <f>4+18+398+425</f>
        <v>845</v>
      </c>
      <c r="F958" s="8">
        <v>0</v>
      </c>
      <c r="G958" s="8">
        <f t="shared" si="27"/>
        <v>845</v>
      </c>
    </row>
    <row r="959" spans="1:7" x14ac:dyDescent="0.25">
      <c r="A959" s="4">
        <v>267</v>
      </c>
      <c r="B959" s="4" t="s">
        <v>104</v>
      </c>
      <c r="C959" s="4">
        <v>2027</v>
      </c>
      <c r="D959" s="4">
        <v>52201</v>
      </c>
      <c r="E959" s="13">
        <f>832+3557</f>
        <v>4389</v>
      </c>
      <c r="F959" s="8">
        <v>0</v>
      </c>
      <c r="G959" s="8">
        <f t="shared" si="27"/>
        <v>4389</v>
      </c>
    </row>
    <row r="960" spans="1:7" x14ac:dyDescent="0.25">
      <c r="A960" s="4">
        <v>267</v>
      </c>
      <c r="B960" s="4" t="s">
        <v>104</v>
      </c>
      <c r="C960" s="4">
        <v>2028</v>
      </c>
      <c r="D960" s="4">
        <v>51101</v>
      </c>
      <c r="E960" s="13">
        <v>59093</v>
      </c>
      <c r="F960" s="8">
        <v>0</v>
      </c>
      <c r="G960" s="8">
        <f t="shared" si="27"/>
        <v>59093</v>
      </c>
    </row>
    <row r="961" spans="1:7" x14ac:dyDescent="0.25">
      <c r="A961" s="4">
        <v>267</v>
      </c>
      <c r="B961" s="4" t="s">
        <v>104</v>
      </c>
      <c r="C961" s="4">
        <v>2028</v>
      </c>
      <c r="D961" s="4">
        <v>52101</v>
      </c>
      <c r="E961" s="13">
        <f>116+676+10731+24</f>
        <v>11547</v>
      </c>
      <c r="F961" s="8">
        <v>0</v>
      </c>
      <c r="G961" s="8">
        <f t="shared" si="27"/>
        <v>11547</v>
      </c>
    </row>
    <row r="962" spans="1:7" x14ac:dyDescent="0.25">
      <c r="A962" s="4">
        <v>267</v>
      </c>
      <c r="B962" s="4" t="s">
        <v>104</v>
      </c>
      <c r="C962" s="4">
        <v>2028</v>
      </c>
      <c r="D962" s="4">
        <v>52111</v>
      </c>
      <c r="E962" s="13">
        <f>4+18+410+438</f>
        <v>870</v>
      </c>
      <c r="F962" s="8">
        <v>0</v>
      </c>
      <c r="G962" s="8">
        <f t="shared" si="27"/>
        <v>870</v>
      </c>
    </row>
    <row r="963" spans="1:7" x14ac:dyDescent="0.25">
      <c r="A963" s="4">
        <v>267</v>
      </c>
      <c r="B963" s="4" t="s">
        <v>104</v>
      </c>
      <c r="C963" s="4">
        <v>2028</v>
      </c>
      <c r="D963" s="4">
        <v>52201</v>
      </c>
      <c r="E963" s="13">
        <f>857+3664</f>
        <v>4521</v>
      </c>
      <c r="F963" s="8">
        <v>0</v>
      </c>
      <c r="G963" s="8">
        <f t="shared" si="27"/>
        <v>4521</v>
      </c>
    </row>
    <row r="964" spans="1:7" x14ac:dyDescent="0.25">
      <c r="A964" s="4">
        <v>267</v>
      </c>
      <c r="B964" s="4" t="s">
        <v>104</v>
      </c>
      <c r="C964" s="4">
        <v>2029</v>
      </c>
      <c r="D964" s="4">
        <v>51101</v>
      </c>
      <c r="E964" s="13">
        <v>60278</v>
      </c>
      <c r="F964" s="8">
        <v>0</v>
      </c>
      <c r="G964" s="8">
        <f t="shared" si="27"/>
        <v>60278</v>
      </c>
    </row>
    <row r="965" spans="1:7" x14ac:dyDescent="0.25">
      <c r="A965" s="4">
        <v>267</v>
      </c>
      <c r="B965" s="4" t="s">
        <v>104</v>
      </c>
      <c r="C965" s="4">
        <v>2029</v>
      </c>
      <c r="D965" s="4">
        <v>52101</v>
      </c>
      <c r="E965" s="13">
        <f>116+1029+10731+24</f>
        <v>11900</v>
      </c>
      <c r="F965" s="8">
        <v>0</v>
      </c>
      <c r="G965" s="8">
        <f t="shared" si="27"/>
        <v>11900</v>
      </c>
    </row>
    <row r="966" spans="1:7" x14ac:dyDescent="0.25">
      <c r="A966" s="4">
        <v>267</v>
      </c>
      <c r="B966" s="4" t="s">
        <v>104</v>
      </c>
      <c r="C966" s="4">
        <v>2029</v>
      </c>
      <c r="D966" s="4">
        <v>52111</v>
      </c>
      <c r="E966" s="13">
        <f>4+18+418+447</f>
        <v>887</v>
      </c>
      <c r="F966" s="8">
        <v>0</v>
      </c>
      <c r="G966" s="8">
        <f t="shared" si="27"/>
        <v>887</v>
      </c>
    </row>
    <row r="967" spans="1:7" x14ac:dyDescent="0.25">
      <c r="A967" s="4">
        <v>267</v>
      </c>
      <c r="B967" s="4" t="s">
        <v>104</v>
      </c>
      <c r="C967" s="4">
        <v>2029</v>
      </c>
      <c r="D967" s="4">
        <v>52201</v>
      </c>
      <c r="E967" s="13">
        <f>874+3737</f>
        <v>4611</v>
      </c>
      <c r="F967" s="8">
        <v>0</v>
      </c>
      <c r="G967" s="8">
        <f t="shared" si="27"/>
        <v>4611</v>
      </c>
    </row>
    <row r="968" spans="1:7" x14ac:dyDescent="0.25">
      <c r="A968" s="4">
        <v>267</v>
      </c>
      <c r="B968" s="4" t="s">
        <v>104</v>
      </c>
      <c r="C968" s="4">
        <v>2030</v>
      </c>
      <c r="D968" s="4">
        <v>51101</v>
      </c>
      <c r="E968" s="13">
        <v>62088</v>
      </c>
      <c r="F968" s="8">
        <v>0</v>
      </c>
      <c r="G968" s="8">
        <f t="shared" si="27"/>
        <v>62088</v>
      </c>
    </row>
    <row r="969" spans="1:7" x14ac:dyDescent="0.25">
      <c r="A969" s="4">
        <v>267</v>
      </c>
      <c r="B969" s="4" t="s">
        <v>104</v>
      </c>
      <c r="C969" s="4">
        <v>2030</v>
      </c>
      <c r="D969" s="4">
        <v>52101</v>
      </c>
      <c r="E969" s="13">
        <f>116+1394+10731+24</f>
        <v>12265</v>
      </c>
      <c r="F969" s="8">
        <v>0</v>
      </c>
      <c r="G969" s="8">
        <f t="shared" si="27"/>
        <v>12265</v>
      </c>
    </row>
    <row r="970" spans="1:7" x14ac:dyDescent="0.25">
      <c r="A970" s="4">
        <v>267</v>
      </c>
      <c r="B970" s="4" t="s">
        <v>104</v>
      </c>
      <c r="C970" s="4">
        <v>2030</v>
      </c>
      <c r="D970" s="4">
        <v>52111</v>
      </c>
      <c r="E970" s="13">
        <f>4+18+430+460</f>
        <v>912</v>
      </c>
      <c r="F970" s="8">
        <v>0</v>
      </c>
      <c r="G970" s="8">
        <f t="shared" si="27"/>
        <v>912</v>
      </c>
    </row>
    <row r="971" spans="1:7" x14ac:dyDescent="0.25">
      <c r="A971" s="4">
        <v>267</v>
      </c>
      <c r="B971" s="4" t="s">
        <v>104</v>
      </c>
      <c r="C971" s="4">
        <v>2030</v>
      </c>
      <c r="D971" s="4">
        <v>52201</v>
      </c>
      <c r="E971" s="13">
        <f>900+3849</f>
        <v>4749</v>
      </c>
      <c r="F971" s="8">
        <v>0</v>
      </c>
      <c r="G971" s="8">
        <f t="shared" si="27"/>
        <v>4749</v>
      </c>
    </row>
    <row r="972" spans="1:7" x14ac:dyDescent="0.25">
      <c r="E972" s="56" t="s">
        <v>105</v>
      </c>
      <c r="F972" s="56"/>
      <c r="G972" s="9">
        <f>SUM(G952:G971)</f>
        <v>379181</v>
      </c>
    </row>
    <row r="974" spans="1:7" x14ac:dyDescent="0.25">
      <c r="A974" s="1" t="s">
        <v>106</v>
      </c>
    </row>
    <row r="975" spans="1:7" x14ac:dyDescent="0.25">
      <c r="A975" s="2" t="s">
        <v>2</v>
      </c>
      <c r="B975" s="2"/>
      <c r="C975" s="2" t="s">
        <v>3</v>
      </c>
      <c r="D975" s="2"/>
      <c r="E975" s="48"/>
      <c r="F975" s="48"/>
      <c r="G975" s="48"/>
    </row>
    <row r="976" spans="1:7" x14ac:dyDescent="0.25">
      <c r="A976" s="2" t="s">
        <v>4</v>
      </c>
      <c r="B976" s="2"/>
      <c r="C976" s="2" t="s">
        <v>5</v>
      </c>
      <c r="D976" s="2" t="s">
        <v>6</v>
      </c>
      <c r="E976" s="2" t="s">
        <v>7</v>
      </c>
      <c r="F976" s="2" t="s">
        <v>8</v>
      </c>
      <c r="G976" s="2" t="s">
        <v>9</v>
      </c>
    </row>
    <row r="977" spans="1:7" x14ac:dyDescent="0.25">
      <c r="A977" s="4">
        <v>267</v>
      </c>
      <c r="B977" s="4" t="s">
        <v>104</v>
      </c>
      <c r="C977" s="4">
        <v>2026</v>
      </c>
      <c r="D977" s="4">
        <v>51101</v>
      </c>
      <c r="E977" s="13">
        <v>44554</v>
      </c>
      <c r="F977" s="8">
        <v>0</v>
      </c>
      <c r="G977" s="8">
        <f t="shared" ref="G977:G996" si="28">E977-F977</f>
        <v>44554</v>
      </c>
    </row>
    <row r="978" spans="1:7" x14ac:dyDescent="0.25">
      <c r="A978" s="4">
        <v>267</v>
      </c>
      <c r="B978" s="4" t="s">
        <v>104</v>
      </c>
      <c r="C978" s="4">
        <v>2026</v>
      </c>
      <c r="D978" s="4">
        <v>52101</v>
      </c>
      <c r="E978" s="13">
        <f>116+9539+24</f>
        <v>9679</v>
      </c>
      <c r="F978" s="8">
        <v>0</v>
      </c>
      <c r="G978" s="8">
        <f t="shared" si="28"/>
        <v>9679</v>
      </c>
    </row>
    <row r="979" spans="1:7" x14ac:dyDescent="0.25">
      <c r="A979" s="4">
        <v>267</v>
      </c>
      <c r="B979" s="4" t="s">
        <v>104</v>
      </c>
      <c r="C979" s="4">
        <v>2026</v>
      </c>
      <c r="D979" s="4">
        <v>52111</v>
      </c>
      <c r="E979" s="8">
        <f>16+68+309+330</f>
        <v>723</v>
      </c>
      <c r="F979" s="8">
        <v>0</v>
      </c>
      <c r="G979" s="8">
        <f t="shared" si="28"/>
        <v>723</v>
      </c>
    </row>
    <row r="980" spans="1:7" x14ac:dyDescent="0.25">
      <c r="A980" s="4">
        <v>267</v>
      </c>
      <c r="B980" s="4" t="s">
        <v>104</v>
      </c>
      <c r="C980" s="4">
        <v>2026</v>
      </c>
      <c r="D980" s="4">
        <v>52201</v>
      </c>
      <c r="E980" s="8">
        <f>646+2762</f>
        <v>3408</v>
      </c>
      <c r="F980" s="8">
        <v>0</v>
      </c>
      <c r="G980" s="8">
        <f t="shared" si="28"/>
        <v>3408</v>
      </c>
    </row>
    <row r="981" spans="1:7" x14ac:dyDescent="0.25">
      <c r="A981" s="4">
        <v>267</v>
      </c>
      <c r="B981" s="4" t="s">
        <v>104</v>
      </c>
      <c r="C981" s="4">
        <v>2027</v>
      </c>
      <c r="D981" s="4">
        <v>51101</v>
      </c>
      <c r="E981" s="8">
        <v>45885</v>
      </c>
      <c r="F981" s="8">
        <v>0</v>
      </c>
      <c r="G981" s="8">
        <f t="shared" si="28"/>
        <v>45885</v>
      </c>
    </row>
    <row r="982" spans="1:7" x14ac:dyDescent="0.25">
      <c r="A982" s="4">
        <v>267</v>
      </c>
      <c r="B982" s="4" t="s">
        <v>104</v>
      </c>
      <c r="C982" s="4">
        <v>2027</v>
      </c>
      <c r="D982" s="4">
        <v>52101</v>
      </c>
      <c r="E982" s="8">
        <f>116+296+9539+24</f>
        <v>9975</v>
      </c>
      <c r="F982" s="8">
        <v>0</v>
      </c>
      <c r="G982" s="8">
        <f t="shared" si="28"/>
        <v>9975</v>
      </c>
    </row>
    <row r="983" spans="1:7" x14ac:dyDescent="0.25">
      <c r="A983" s="4">
        <v>267</v>
      </c>
      <c r="B983" s="4" t="s">
        <v>104</v>
      </c>
      <c r="C983" s="4">
        <v>2027</v>
      </c>
      <c r="D983" s="4">
        <v>52111</v>
      </c>
      <c r="E983" s="8">
        <f>17+70+318+340</f>
        <v>745</v>
      </c>
      <c r="F983" s="8">
        <v>0</v>
      </c>
      <c r="G983" s="8">
        <f t="shared" si="28"/>
        <v>745</v>
      </c>
    </row>
    <row r="984" spans="1:7" x14ac:dyDescent="0.25">
      <c r="A984" s="4">
        <v>267</v>
      </c>
      <c r="B984" s="4" t="s">
        <v>104</v>
      </c>
      <c r="C984" s="4">
        <v>2027</v>
      </c>
      <c r="D984" s="4">
        <v>52201</v>
      </c>
      <c r="E984" s="8">
        <f>665+2845</f>
        <v>3510</v>
      </c>
      <c r="F984" s="8">
        <v>0</v>
      </c>
      <c r="G984" s="8">
        <f t="shared" si="28"/>
        <v>3510</v>
      </c>
    </row>
    <row r="985" spans="1:7" x14ac:dyDescent="0.25">
      <c r="A985" s="4">
        <v>267</v>
      </c>
      <c r="B985" s="4" t="s">
        <v>104</v>
      </c>
      <c r="C985" s="4">
        <v>2028</v>
      </c>
      <c r="D985" s="4">
        <v>51101</v>
      </c>
      <c r="E985" s="8">
        <v>47258</v>
      </c>
      <c r="F985" s="8">
        <v>0</v>
      </c>
      <c r="G985" s="8">
        <f t="shared" si="28"/>
        <v>47258</v>
      </c>
    </row>
    <row r="986" spans="1:7" x14ac:dyDescent="0.25">
      <c r="A986" s="4">
        <v>267</v>
      </c>
      <c r="B986" s="4" t="s">
        <v>104</v>
      </c>
      <c r="C986" s="4">
        <v>2028</v>
      </c>
      <c r="D986" s="4">
        <v>52101</v>
      </c>
      <c r="E986" s="8">
        <f>116+601+9539+24</f>
        <v>10280</v>
      </c>
      <c r="F986" s="8">
        <v>0</v>
      </c>
      <c r="G986" s="8">
        <f t="shared" si="28"/>
        <v>10280</v>
      </c>
    </row>
    <row r="987" spans="1:7" x14ac:dyDescent="0.25">
      <c r="A987" s="4">
        <v>267</v>
      </c>
      <c r="B987" s="4" t="s">
        <v>104</v>
      </c>
      <c r="C987" s="4">
        <v>2028</v>
      </c>
      <c r="D987" s="4">
        <v>52111</v>
      </c>
      <c r="E987" s="8">
        <f>17+72+327+350</f>
        <v>766</v>
      </c>
      <c r="F987" s="8">
        <v>0</v>
      </c>
      <c r="G987" s="8">
        <f t="shared" si="28"/>
        <v>766</v>
      </c>
    </row>
    <row r="988" spans="1:7" x14ac:dyDescent="0.25">
      <c r="A988" s="4">
        <v>267</v>
      </c>
      <c r="B988" s="4" t="s">
        <v>104</v>
      </c>
      <c r="C988" s="4">
        <v>2028</v>
      </c>
      <c r="D988" s="4">
        <v>52201</v>
      </c>
      <c r="E988" s="8">
        <f>685+2930</f>
        <v>3615</v>
      </c>
      <c r="F988" s="8">
        <v>0</v>
      </c>
      <c r="G988" s="8">
        <f t="shared" si="28"/>
        <v>3615</v>
      </c>
    </row>
    <row r="989" spans="1:7" x14ac:dyDescent="0.25">
      <c r="A989" s="4">
        <v>267</v>
      </c>
      <c r="B989" s="4" t="s">
        <v>104</v>
      </c>
      <c r="C989" s="4">
        <v>2029</v>
      </c>
      <c r="D989" s="4">
        <v>51101</v>
      </c>
      <c r="E989" s="8">
        <v>48194</v>
      </c>
      <c r="F989" s="8">
        <v>0</v>
      </c>
      <c r="G989" s="8">
        <f t="shared" si="28"/>
        <v>48194</v>
      </c>
    </row>
    <row r="990" spans="1:7" x14ac:dyDescent="0.25">
      <c r="A990" s="4">
        <v>267</v>
      </c>
      <c r="B990" s="4" t="s">
        <v>104</v>
      </c>
      <c r="C990" s="4">
        <v>2029</v>
      </c>
      <c r="D990" s="4">
        <v>52101</v>
      </c>
      <c r="E990" s="8">
        <f>116+915+9539+24</f>
        <v>10594</v>
      </c>
      <c r="F990" s="8">
        <v>0</v>
      </c>
      <c r="G990" s="8">
        <f t="shared" si="28"/>
        <v>10594</v>
      </c>
    </row>
    <row r="991" spans="1:7" x14ac:dyDescent="0.25">
      <c r="A991" s="4">
        <v>267</v>
      </c>
      <c r="B991" s="4" t="s">
        <v>104</v>
      </c>
      <c r="C991" s="4">
        <v>2029</v>
      </c>
      <c r="D991" s="4">
        <v>52111</v>
      </c>
      <c r="E991" s="8">
        <f>17+73+334+357</f>
        <v>781</v>
      </c>
      <c r="F991" s="8">
        <v>0</v>
      </c>
      <c r="G991" s="8">
        <f t="shared" si="28"/>
        <v>781</v>
      </c>
    </row>
    <row r="992" spans="1:7" x14ac:dyDescent="0.25">
      <c r="A992" s="4">
        <v>267</v>
      </c>
      <c r="B992" s="4" t="s">
        <v>104</v>
      </c>
      <c r="C992" s="4">
        <v>2029</v>
      </c>
      <c r="D992" s="4">
        <v>52201</v>
      </c>
      <c r="E992" s="8">
        <f>699+2988</f>
        <v>3687</v>
      </c>
      <c r="F992" s="8">
        <v>0</v>
      </c>
      <c r="G992" s="8">
        <f t="shared" si="28"/>
        <v>3687</v>
      </c>
    </row>
    <row r="993" spans="1:7" x14ac:dyDescent="0.25">
      <c r="A993" s="4">
        <v>267</v>
      </c>
      <c r="B993" s="4" t="s">
        <v>104</v>
      </c>
      <c r="C993" s="4">
        <v>2030</v>
      </c>
      <c r="D993" s="4">
        <v>51101</v>
      </c>
      <c r="E993" s="8">
        <v>49650</v>
      </c>
      <c r="F993" s="8">
        <v>0</v>
      </c>
      <c r="G993" s="8">
        <f t="shared" si="28"/>
        <v>49650</v>
      </c>
    </row>
    <row r="994" spans="1:7" x14ac:dyDescent="0.25">
      <c r="A994" s="4">
        <v>267</v>
      </c>
      <c r="B994" s="4" t="s">
        <v>104</v>
      </c>
      <c r="C994" s="4">
        <v>2030</v>
      </c>
      <c r="D994" s="4">
        <v>52101</v>
      </c>
      <c r="E994" s="8">
        <f>116+1239+9539+24</f>
        <v>10918</v>
      </c>
      <c r="F994" s="8">
        <v>0</v>
      </c>
      <c r="G994" s="8">
        <f t="shared" si="28"/>
        <v>10918</v>
      </c>
    </row>
    <row r="995" spans="1:7" x14ac:dyDescent="0.25">
      <c r="A995" s="4">
        <v>267</v>
      </c>
      <c r="B995" s="4" t="s">
        <v>104</v>
      </c>
      <c r="C995" s="4">
        <v>2030</v>
      </c>
      <c r="D995" s="4">
        <v>52111</v>
      </c>
      <c r="E995" s="8">
        <f>18+76+344+368</f>
        <v>806</v>
      </c>
      <c r="F995" s="8">
        <v>0</v>
      </c>
      <c r="G995" s="8">
        <f t="shared" si="28"/>
        <v>806</v>
      </c>
    </row>
    <row r="996" spans="1:7" x14ac:dyDescent="0.25">
      <c r="A996" s="4">
        <v>267</v>
      </c>
      <c r="B996" s="4" t="s">
        <v>104</v>
      </c>
      <c r="C996" s="4">
        <v>2030</v>
      </c>
      <c r="D996" s="4">
        <v>52201</v>
      </c>
      <c r="E996" s="8">
        <f>720+3078</f>
        <v>3798</v>
      </c>
      <c r="F996" s="8">
        <v>0</v>
      </c>
      <c r="G996" s="8">
        <f t="shared" si="28"/>
        <v>3798</v>
      </c>
    </row>
    <row r="997" spans="1:7" x14ac:dyDescent="0.25">
      <c r="E997" s="56" t="s">
        <v>105</v>
      </c>
      <c r="F997" s="56"/>
      <c r="G997" s="9">
        <f>SUM(G977:G996)</f>
        <v>308826</v>
      </c>
    </row>
    <row r="999" spans="1:7" x14ac:dyDescent="0.25">
      <c r="A999" s="1" t="s">
        <v>107</v>
      </c>
    </row>
    <row r="1000" spans="1:7" x14ac:dyDescent="0.25">
      <c r="A1000" s="2" t="s">
        <v>2</v>
      </c>
      <c r="B1000" s="2"/>
      <c r="C1000" s="2" t="s">
        <v>3</v>
      </c>
      <c r="D1000" s="2"/>
      <c r="E1000" s="48"/>
      <c r="F1000" s="48"/>
      <c r="G1000" s="48"/>
    </row>
    <row r="1001" spans="1:7" x14ac:dyDescent="0.25">
      <c r="A1001" s="2" t="s">
        <v>4</v>
      </c>
      <c r="B1001" s="2"/>
      <c r="C1001" s="2" t="s">
        <v>5</v>
      </c>
      <c r="D1001" s="2" t="s">
        <v>6</v>
      </c>
      <c r="E1001" s="2" t="s">
        <v>7</v>
      </c>
      <c r="F1001" s="2" t="s">
        <v>8</v>
      </c>
      <c r="G1001" s="2" t="s">
        <v>9</v>
      </c>
    </row>
    <row r="1002" spans="1:7" x14ac:dyDescent="0.25">
      <c r="A1002" s="4">
        <v>277</v>
      </c>
      <c r="B1002" s="4" t="s">
        <v>108</v>
      </c>
      <c r="C1002" s="4">
        <v>2026</v>
      </c>
      <c r="D1002" s="4">
        <v>54201</v>
      </c>
      <c r="E1002" s="13">
        <v>520000</v>
      </c>
      <c r="F1002" s="8">
        <f>520000+500000</f>
        <v>1020000</v>
      </c>
      <c r="G1002" s="8">
        <f>E1002-F1002</f>
        <v>-500000</v>
      </c>
    </row>
    <row r="1003" spans="1:7" x14ac:dyDescent="0.25">
      <c r="A1003" s="4"/>
      <c r="B1003" s="4"/>
      <c r="C1003" s="4"/>
      <c r="D1003" s="4"/>
      <c r="E1003" s="13"/>
      <c r="F1003" s="8"/>
      <c r="G1003" s="8"/>
    </row>
    <row r="1004" spans="1:7" x14ac:dyDescent="0.25">
      <c r="E1004" s="56" t="s">
        <v>105</v>
      </c>
      <c r="F1004" s="56"/>
      <c r="G1004" s="9">
        <f>SUM(G1002:G1003)</f>
        <v>-500000</v>
      </c>
    </row>
    <row r="1006" spans="1:7" x14ac:dyDescent="0.25">
      <c r="A1006" s="1" t="s">
        <v>109</v>
      </c>
    </row>
    <row r="1007" spans="1:7" x14ac:dyDescent="0.25">
      <c r="A1007" s="2" t="s">
        <v>2</v>
      </c>
      <c r="B1007" s="2"/>
      <c r="C1007" s="2" t="s">
        <v>3</v>
      </c>
      <c r="D1007" s="2"/>
      <c r="E1007" s="48"/>
      <c r="F1007" s="48"/>
      <c r="G1007" s="48"/>
    </row>
    <row r="1008" spans="1:7" x14ac:dyDescent="0.25">
      <c r="A1008" s="2" t="s">
        <v>4</v>
      </c>
      <c r="B1008" s="2"/>
      <c r="C1008" s="2" t="s">
        <v>5</v>
      </c>
      <c r="D1008" s="2" t="s">
        <v>6</v>
      </c>
      <c r="E1008" s="2" t="s">
        <v>7</v>
      </c>
      <c r="F1008" s="2" t="s">
        <v>8</v>
      </c>
      <c r="G1008" s="2" t="s">
        <v>9</v>
      </c>
    </row>
    <row r="1009" spans="1:7" x14ac:dyDescent="0.25">
      <c r="A1009" s="4">
        <v>259</v>
      </c>
      <c r="B1009" s="4" t="s">
        <v>110</v>
      </c>
      <c r="C1009" s="4">
        <v>2026</v>
      </c>
      <c r="D1009" s="4">
        <v>51101</v>
      </c>
      <c r="E1009" s="8">
        <v>45900</v>
      </c>
      <c r="F1009" s="8">
        <v>45900</v>
      </c>
      <c r="G1009" s="8">
        <f t="shared" ref="G1009:G1028" si="29">E1009-F1009</f>
        <v>0</v>
      </c>
    </row>
    <row r="1010" spans="1:7" x14ac:dyDescent="0.25">
      <c r="A1010" s="4">
        <v>259</v>
      </c>
      <c r="B1010" s="4" t="s">
        <v>110</v>
      </c>
      <c r="C1010" s="4">
        <v>2026</v>
      </c>
      <c r="D1010" s="4">
        <v>52101</v>
      </c>
      <c r="E1010" s="8">
        <v>0</v>
      </c>
      <c r="F1010" s="8">
        <v>9539</v>
      </c>
      <c r="G1010" s="8">
        <f t="shared" si="29"/>
        <v>-9539</v>
      </c>
    </row>
    <row r="1011" spans="1:7" x14ac:dyDescent="0.25">
      <c r="A1011" s="4">
        <v>259</v>
      </c>
      <c r="B1011" s="4" t="s">
        <v>110</v>
      </c>
      <c r="C1011" s="4">
        <v>2026</v>
      </c>
      <c r="D1011" s="4">
        <v>52111</v>
      </c>
      <c r="E1011" s="8">
        <v>666</v>
      </c>
      <c r="F1011" s="8">
        <v>1637</v>
      </c>
      <c r="G1011" s="8">
        <f t="shared" si="29"/>
        <v>-971</v>
      </c>
    </row>
    <row r="1012" spans="1:7" x14ac:dyDescent="0.25">
      <c r="A1012" s="4">
        <v>259</v>
      </c>
      <c r="B1012" s="4" t="s">
        <v>110</v>
      </c>
      <c r="C1012" s="4">
        <v>2026</v>
      </c>
      <c r="D1012" s="4">
        <v>52201</v>
      </c>
      <c r="E1012" s="8">
        <v>2846</v>
      </c>
      <c r="F1012" s="8">
        <v>2846</v>
      </c>
      <c r="G1012" s="8">
        <f t="shared" si="29"/>
        <v>0</v>
      </c>
    </row>
    <row r="1013" spans="1:7" x14ac:dyDescent="0.25">
      <c r="A1013" s="4">
        <v>259</v>
      </c>
      <c r="B1013" s="4" t="s">
        <v>110</v>
      </c>
      <c r="C1013" s="4">
        <v>2027</v>
      </c>
      <c r="D1013" s="4">
        <v>51101</v>
      </c>
      <c r="E1013" s="8">
        <v>47277</v>
      </c>
      <c r="F1013" s="8">
        <v>47277</v>
      </c>
      <c r="G1013" s="8">
        <f t="shared" si="29"/>
        <v>0</v>
      </c>
    </row>
    <row r="1014" spans="1:7" x14ac:dyDescent="0.25">
      <c r="A1014" s="4">
        <v>259</v>
      </c>
      <c r="B1014" s="4" t="s">
        <v>110</v>
      </c>
      <c r="C1014" s="4">
        <v>2027</v>
      </c>
      <c r="D1014" s="4">
        <v>52101</v>
      </c>
      <c r="E1014" s="8">
        <v>0</v>
      </c>
      <c r="F1014" s="8">
        <f>9539+296</f>
        <v>9835</v>
      </c>
      <c r="G1014" s="8">
        <f t="shared" si="29"/>
        <v>-9835</v>
      </c>
    </row>
    <row r="1015" spans="1:7" x14ac:dyDescent="0.25">
      <c r="A1015" s="4">
        <v>259</v>
      </c>
      <c r="B1015" s="4" t="s">
        <v>110</v>
      </c>
      <c r="C1015" s="4">
        <v>2027</v>
      </c>
      <c r="D1015" s="4">
        <v>52111</v>
      </c>
      <c r="E1015" s="8">
        <v>686</v>
      </c>
      <c r="F1015" s="8">
        <v>1682</v>
      </c>
      <c r="G1015" s="8">
        <f t="shared" si="29"/>
        <v>-996</v>
      </c>
    </row>
    <row r="1016" spans="1:7" x14ac:dyDescent="0.25">
      <c r="A1016" s="4">
        <v>259</v>
      </c>
      <c r="B1016" s="4" t="s">
        <v>110</v>
      </c>
      <c r="C1016" s="4">
        <v>2027</v>
      </c>
      <c r="D1016" s="4">
        <v>52201</v>
      </c>
      <c r="E1016" s="8">
        <v>2931</v>
      </c>
      <c r="F1016" s="8">
        <v>2931</v>
      </c>
      <c r="G1016" s="8">
        <f t="shared" si="29"/>
        <v>0</v>
      </c>
    </row>
    <row r="1017" spans="1:7" x14ac:dyDescent="0.25">
      <c r="A1017" s="4">
        <v>259</v>
      </c>
      <c r="B1017" s="4" t="s">
        <v>110</v>
      </c>
      <c r="C1017" s="4">
        <v>2028</v>
      </c>
      <c r="D1017" s="4">
        <v>51101</v>
      </c>
      <c r="E1017" s="8">
        <v>49168</v>
      </c>
      <c r="F1017" s="8">
        <v>49168</v>
      </c>
      <c r="G1017" s="8">
        <f t="shared" si="29"/>
        <v>0</v>
      </c>
    </row>
    <row r="1018" spans="1:7" x14ac:dyDescent="0.25">
      <c r="A1018" s="4">
        <v>259</v>
      </c>
      <c r="B1018" s="4" t="s">
        <v>110</v>
      </c>
      <c r="C1018" s="4">
        <v>2028</v>
      </c>
      <c r="D1018" s="4">
        <v>52101</v>
      </c>
      <c r="E1018" s="8">
        <v>0</v>
      </c>
      <c r="F1018" s="8">
        <f>9539+601</f>
        <v>10140</v>
      </c>
      <c r="G1018" s="8">
        <f t="shared" si="29"/>
        <v>-10140</v>
      </c>
    </row>
    <row r="1019" spans="1:7" x14ac:dyDescent="0.25">
      <c r="A1019" s="4">
        <v>259</v>
      </c>
      <c r="B1019" s="4" t="s">
        <v>110</v>
      </c>
      <c r="C1019" s="4">
        <v>2028</v>
      </c>
      <c r="D1019" s="4">
        <v>52111</v>
      </c>
      <c r="E1019" s="8">
        <v>713</v>
      </c>
      <c r="F1019" s="8">
        <v>1743</v>
      </c>
      <c r="G1019" s="8">
        <f t="shared" si="29"/>
        <v>-1030</v>
      </c>
    </row>
    <row r="1020" spans="1:7" x14ac:dyDescent="0.25">
      <c r="A1020" s="4">
        <v>259</v>
      </c>
      <c r="B1020" s="4" t="s">
        <v>110</v>
      </c>
      <c r="C1020" s="4">
        <v>2028</v>
      </c>
      <c r="D1020" s="4">
        <v>52201</v>
      </c>
      <c r="E1020" s="8">
        <v>3048</v>
      </c>
      <c r="F1020" s="8">
        <v>3048</v>
      </c>
      <c r="G1020" s="8">
        <f t="shared" si="29"/>
        <v>0</v>
      </c>
    </row>
    <row r="1021" spans="1:7" x14ac:dyDescent="0.25">
      <c r="A1021" s="4">
        <v>259</v>
      </c>
      <c r="B1021" s="4" t="s">
        <v>110</v>
      </c>
      <c r="C1021" s="4">
        <v>2029</v>
      </c>
      <c r="D1021" s="4">
        <v>51101</v>
      </c>
      <c r="E1021" s="8">
        <v>49660</v>
      </c>
      <c r="F1021" s="8">
        <v>49660</v>
      </c>
      <c r="G1021" s="8">
        <f t="shared" si="29"/>
        <v>0</v>
      </c>
    </row>
    <row r="1022" spans="1:7" x14ac:dyDescent="0.25">
      <c r="A1022" s="4">
        <v>259</v>
      </c>
      <c r="B1022" s="4" t="s">
        <v>110</v>
      </c>
      <c r="C1022" s="4">
        <v>2029</v>
      </c>
      <c r="D1022" s="4">
        <v>52101</v>
      </c>
      <c r="E1022" s="8">
        <v>0</v>
      </c>
      <c r="F1022" s="8">
        <f>9539+915</f>
        <v>10454</v>
      </c>
      <c r="G1022" s="8">
        <f t="shared" si="29"/>
        <v>-10454</v>
      </c>
    </row>
    <row r="1023" spans="1:7" x14ac:dyDescent="0.25">
      <c r="A1023" s="4">
        <v>259</v>
      </c>
      <c r="B1023" s="4" t="s">
        <v>110</v>
      </c>
      <c r="C1023" s="4">
        <v>2029</v>
      </c>
      <c r="D1023" s="4">
        <v>52111</v>
      </c>
      <c r="E1023" s="8">
        <v>720</v>
      </c>
      <c r="F1023" s="8">
        <v>1759</v>
      </c>
      <c r="G1023" s="8">
        <f t="shared" si="29"/>
        <v>-1039</v>
      </c>
    </row>
    <row r="1024" spans="1:7" x14ac:dyDescent="0.25">
      <c r="A1024" s="4">
        <v>259</v>
      </c>
      <c r="B1024" s="4" t="s">
        <v>110</v>
      </c>
      <c r="C1024" s="4">
        <v>2029</v>
      </c>
      <c r="D1024" s="4">
        <v>52201</v>
      </c>
      <c r="E1024" s="8">
        <v>3079</v>
      </c>
      <c r="F1024" s="8">
        <v>3079</v>
      </c>
      <c r="G1024" s="8">
        <f t="shared" si="29"/>
        <v>0</v>
      </c>
    </row>
    <row r="1025" spans="1:7" x14ac:dyDescent="0.25">
      <c r="A1025" s="4">
        <v>259</v>
      </c>
      <c r="B1025" s="4" t="s">
        <v>110</v>
      </c>
      <c r="C1025" s="4">
        <v>2030</v>
      </c>
      <c r="D1025" s="4">
        <v>51101</v>
      </c>
      <c r="E1025" s="8">
        <v>50156</v>
      </c>
      <c r="F1025" s="8">
        <v>50156</v>
      </c>
      <c r="G1025" s="8">
        <f t="shared" si="29"/>
        <v>0</v>
      </c>
    </row>
    <row r="1026" spans="1:7" x14ac:dyDescent="0.25">
      <c r="A1026" s="4">
        <v>259</v>
      </c>
      <c r="B1026" s="4" t="s">
        <v>110</v>
      </c>
      <c r="C1026" s="4">
        <v>2030</v>
      </c>
      <c r="D1026" s="4">
        <v>52101</v>
      </c>
      <c r="E1026" s="8">
        <v>0</v>
      </c>
      <c r="F1026" s="8">
        <f>9539+1239</f>
        <v>10778</v>
      </c>
      <c r="G1026" s="8">
        <f t="shared" si="29"/>
        <v>-10778</v>
      </c>
    </row>
    <row r="1027" spans="1:7" x14ac:dyDescent="0.25">
      <c r="A1027" s="4">
        <v>259</v>
      </c>
      <c r="B1027" s="4" t="s">
        <v>110</v>
      </c>
      <c r="C1027" s="4">
        <v>2030</v>
      </c>
      <c r="D1027" s="4">
        <v>52111</v>
      </c>
      <c r="E1027" s="8">
        <v>727</v>
      </c>
      <c r="F1027" s="8">
        <v>1776</v>
      </c>
      <c r="G1027" s="8">
        <f t="shared" si="29"/>
        <v>-1049</v>
      </c>
    </row>
    <row r="1028" spans="1:7" x14ac:dyDescent="0.25">
      <c r="A1028" s="4">
        <v>259</v>
      </c>
      <c r="B1028" s="4" t="s">
        <v>110</v>
      </c>
      <c r="C1028" s="4">
        <v>2030</v>
      </c>
      <c r="D1028" s="4">
        <v>52201</v>
      </c>
      <c r="E1028" s="8">
        <v>3110</v>
      </c>
      <c r="F1028" s="8">
        <v>3110</v>
      </c>
      <c r="G1028" s="8">
        <f t="shared" si="29"/>
        <v>0</v>
      </c>
    </row>
    <row r="1029" spans="1:7" x14ac:dyDescent="0.25">
      <c r="E1029" s="49" t="s">
        <v>13</v>
      </c>
      <c r="F1029" s="49"/>
      <c r="G1029" s="9">
        <f>SUM(G1009:G1028)</f>
        <v>-55831</v>
      </c>
    </row>
    <row r="1031" spans="1:7" x14ac:dyDescent="0.25">
      <c r="A1031" s="1" t="s">
        <v>111</v>
      </c>
    </row>
    <row r="1032" spans="1:7" x14ac:dyDescent="0.25">
      <c r="A1032" s="1" t="s">
        <v>112</v>
      </c>
    </row>
    <row r="1033" spans="1:7" x14ac:dyDescent="0.25">
      <c r="A1033" s="2" t="s">
        <v>2</v>
      </c>
      <c r="B1033" s="2"/>
      <c r="C1033" s="2" t="s">
        <v>3</v>
      </c>
      <c r="D1033" s="2"/>
      <c r="E1033" s="48"/>
      <c r="F1033" s="48"/>
      <c r="G1033" s="48"/>
    </row>
    <row r="1034" spans="1:7" x14ac:dyDescent="0.25">
      <c r="A1034" s="2" t="s">
        <v>4</v>
      </c>
      <c r="B1034" s="2"/>
      <c r="C1034" s="2" t="s">
        <v>5</v>
      </c>
      <c r="D1034" s="2" t="s">
        <v>6</v>
      </c>
      <c r="E1034" s="3" t="s">
        <v>7</v>
      </c>
      <c r="F1034" s="2" t="s">
        <v>8</v>
      </c>
      <c r="G1034" s="2" t="s">
        <v>9</v>
      </c>
    </row>
    <row r="1035" spans="1:7" x14ac:dyDescent="0.25">
      <c r="A1035" s="4">
        <v>264</v>
      </c>
      <c r="B1035" s="4" t="s">
        <v>113</v>
      </c>
      <c r="C1035" s="4">
        <v>2026</v>
      </c>
      <c r="D1035" s="5">
        <v>51101</v>
      </c>
      <c r="E1035" s="17">
        <v>41828.800000000003</v>
      </c>
      <c r="F1035" s="7">
        <v>46125</v>
      </c>
      <c r="G1035" s="8">
        <f>E1035-F1035</f>
        <v>-4296.1999999999971</v>
      </c>
    </row>
    <row r="1036" spans="1:7" x14ac:dyDescent="0.25">
      <c r="A1036" s="4">
        <v>264</v>
      </c>
      <c r="B1036" s="4" t="s">
        <v>113</v>
      </c>
      <c r="C1036" s="4">
        <v>2026</v>
      </c>
      <c r="D1036" s="5">
        <v>52111</v>
      </c>
      <c r="E1036" s="18">
        <v>897.72</v>
      </c>
      <c r="F1036" s="7">
        <v>976</v>
      </c>
      <c r="G1036" s="8">
        <f t="shared" ref="G1036:G1049" si="30">E1036-F1036</f>
        <v>-78.279999999999973</v>
      </c>
    </row>
    <row r="1037" spans="1:7" x14ac:dyDescent="0.25">
      <c r="A1037" s="4">
        <v>264</v>
      </c>
      <c r="B1037" s="4" t="s">
        <v>113</v>
      </c>
      <c r="C1037" s="4">
        <v>2026</v>
      </c>
      <c r="D1037" s="5">
        <v>52201</v>
      </c>
      <c r="E1037" s="18">
        <v>129349.9</v>
      </c>
      <c r="F1037" s="7">
        <v>129678.57</v>
      </c>
      <c r="G1037" s="8">
        <f t="shared" si="30"/>
        <v>-328.67000000001281</v>
      </c>
    </row>
    <row r="1038" spans="1:7" x14ac:dyDescent="0.25">
      <c r="A1038" s="4">
        <v>264</v>
      </c>
      <c r="B1038" s="4" t="s">
        <v>113</v>
      </c>
      <c r="C1038" s="4">
        <v>2027</v>
      </c>
      <c r="D1038" s="5">
        <v>51101</v>
      </c>
      <c r="E1038" s="18">
        <v>43076.800000000003</v>
      </c>
      <c r="F1038" s="7">
        <v>47509</v>
      </c>
      <c r="G1038" s="8">
        <f t="shared" si="30"/>
        <v>-4432.1999999999971</v>
      </c>
    </row>
    <row r="1039" spans="1:7" x14ac:dyDescent="0.25">
      <c r="A1039" s="4">
        <v>264</v>
      </c>
      <c r="B1039" s="4" t="s">
        <v>113</v>
      </c>
      <c r="C1039" s="4">
        <v>2027</v>
      </c>
      <c r="D1039" s="5">
        <v>52111</v>
      </c>
      <c r="E1039" s="18">
        <v>920.31</v>
      </c>
      <c r="F1039" s="7">
        <v>1001</v>
      </c>
      <c r="G1039" s="8">
        <f t="shared" si="30"/>
        <v>-80.690000000000055</v>
      </c>
    </row>
    <row r="1040" spans="1:7" x14ac:dyDescent="0.25">
      <c r="A1040" s="4">
        <v>264</v>
      </c>
      <c r="B1040" s="4" t="s">
        <v>113</v>
      </c>
      <c r="C1040" s="4">
        <v>2027</v>
      </c>
      <c r="D1040" s="5">
        <v>52201</v>
      </c>
      <c r="E1040" s="18">
        <v>129445.38</v>
      </c>
      <c r="F1040" s="7">
        <v>129784.43</v>
      </c>
      <c r="G1040" s="8">
        <f t="shared" si="30"/>
        <v>-339.04999999998836</v>
      </c>
    </row>
    <row r="1041" spans="1:7" x14ac:dyDescent="0.25">
      <c r="A1041" s="4">
        <v>264</v>
      </c>
      <c r="B1041" s="4" t="s">
        <v>113</v>
      </c>
      <c r="C1041" s="4">
        <v>2028</v>
      </c>
      <c r="D1041" s="5">
        <v>51101</v>
      </c>
      <c r="E1041" s="18">
        <v>44366.400000000001</v>
      </c>
      <c r="F1041" s="7">
        <v>49409</v>
      </c>
      <c r="G1041" s="8">
        <f t="shared" si="30"/>
        <v>-5042.5999999999985</v>
      </c>
    </row>
    <row r="1042" spans="1:7" x14ac:dyDescent="0.25">
      <c r="A1042" s="4">
        <v>264</v>
      </c>
      <c r="B1042" s="4" t="s">
        <v>113</v>
      </c>
      <c r="C1042" s="4">
        <v>2028</v>
      </c>
      <c r="D1042" s="5">
        <v>52111</v>
      </c>
      <c r="E1042" s="18">
        <v>943.67</v>
      </c>
      <c r="F1042" s="7">
        <v>1035</v>
      </c>
      <c r="G1042" s="8">
        <f t="shared" si="30"/>
        <v>-91.330000000000041</v>
      </c>
    </row>
    <row r="1043" spans="1:7" x14ac:dyDescent="0.25">
      <c r="A1043" s="4">
        <v>264</v>
      </c>
      <c r="B1043" s="4" t="s">
        <v>113</v>
      </c>
      <c r="C1043" s="4">
        <v>2028</v>
      </c>
      <c r="D1043" s="5">
        <v>52201</v>
      </c>
      <c r="E1043" s="18">
        <v>129544.03</v>
      </c>
      <c r="F1043" s="7">
        <v>129929.8</v>
      </c>
      <c r="G1043" s="8">
        <f t="shared" si="30"/>
        <v>-385.77000000000407</v>
      </c>
    </row>
    <row r="1044" spans="1:7" x14ac:dyDescent="0.25">
      <c r="A1044" s="4">
        <v>264</v>
      </c>
      <c r="B1044" s="4" t="s">
        <v>113</v>
      </c>
      <c r="C1044" s="4">
        <v>2029</v>
      </c>
      <c r="D1044" s="5">
        <v>51101</v>
      </c>
      <c r="E1044" s="18">
        <v>44803.199999999997</v>
      </c>
      <c r="F1044" s="7">
        <v>49903</v>
      </c>
      <c r="G1044" s="8">
        <f t="shared" si="30"/>
        <v>-5099.8000000000029</v>
      </c>
    </row>
    <row r="1045" spans="1:7" x14ac:dyDescent="0.25">
      <c r="A1045" s="4">
        <v>264</v>
      </c>
      <c r="B1045" s="4" t="s">
        <v>113</v>
      </c>
      <c r="C1045" s="4">
        <v>2029</v>
      </c>
      <c r="D1045" s="5">
        <v>52111</v>
      </c>
      <c r="E1045" s="18">
        <v>951.58</v>
      </c>
      <c r="F1045" s="7">
        <v>1044</v>
      </c>
      <c r="G1045" s="8">
        <f t="shared" si="30"/>
        <v>-92.419999999999959</v>
      </c>
    </row>
    <row r="1046" spans="1:7" x14ac:dyDescent="0.25">
      <c r="A1046" s="4">
        <v>264</v>
      </c>
      <c r="B1046" s="4" t="s">
        <v>113</v>
      </c>
      <c r="C1046" s="4">
        <v>2029</v>
      </c>
      <c r="D1046" s="5">
        <v>52201</v>
      </c>
      <c r="E1046" s="18">
        <v>129577.44</v>
      </c>
      <c r="F1046" s="7">
        <v>129967.59</v>
      </c>
      <c r="G1046" s="8">
        <f t="shared" si="30"/>
        <v>-390.14999999999418</v>
      </c>
    </row>
    <row r="1047" spans="1:7" x14ac:dyDescent="0.25">
      <c r="A1047" s="4">
        <v>264</v>
      </c>
      <c r="B1047" s="4" t="s">
        <v>113</v>
      </c>
      <c r="C1047" s="4">
        <v>2030</v>
      </c>
      <c r="D1047" s="5">
        <v>51101</v>
      </c>
      <c r="E1047" s="18">
        <v>45260.800000000003</v>
      </c>
      <c r="F1047" s="7">
        <v>50402</v>
      </c>
      <c r="G1047" s="8">
        <f t="shared" si="30"/>
        <v>-5141.1999999999971</v>
      </c>
    </row>
    <row r="1048" spans="1:7" x14ac:dyDescent="0.25">
      <c r="A1048" s="4">
        <v>264</v>
      </c>
      <c r="B1048" s="4" t="s">
        <v>113</v>
      </c>
      <c r="C1048" s="4">
        <v>2030</v>
      </c>
      <c r="D1048" s="5">
        <v>52111</v>
      </c>
      <c r="E1048" s="18">
        <v>959.86</v>
      </c>
      <c r="F1048" s="7">
        <v>1053</v>
      </c>
      <c r="G1048" s="8">
        <f t="shared" si="30"/>
        <v>-93.139999999999986</v>
      </c>
    </row>
    <row r="1049" spans="1:7" x14ac:dyDescent="0.25">
      <c r="A1049" s="4">
        <v>264</v>
      </c>
      <c r="B1049" s="4" t="s">
        <v>113</v>
      </c>
      <c r="C1049" s="4">
        <v>2030</v>
      </c>
      <c r="D1049" s="5">
        <v>52201</v>
      </c>
      <c r="E1049" s="18">
        <v>129612.45</v>
      </c>
      <c r="F1049" s="7">
        <v>130005.75999999999</v>
      </c>
      <c r="G1049" s="8">
        <f t="shared" si="30"/>
        <v>-393.30999999999767</v>
      </c>
    </row>
    <row r="1050" spans="1:7" x14ac:dyDescent="0.25">
      <c r="E1050" s="11" t="s">
        <v>13</v>
      </c>
      <c r="F1050" s="11"/>
      <c r="G1050" s="9">
        <f>SUM(G1035:G1049)</f>
        <v>-26284.809999999987</v>
      </c>
    </row>
    <row r="1051" spans="1:7" x14ac:dyDescent="0.25">
      <c r="A1051" s="10" t="s">
        <v>114</v>
      </c>
    </row>
    <row r="1052" spans="1:7" x14ac:dyDescent="0.25">
      <c r="A1052" s="2" t="s">
        <v>2</v>
      </c>
      <c r="B1052" s="2"/>
      <c r="C1052" s="2" t="s">
        <v>3</v>
      </c>
      <c r="D1052" s="2"/>
      <c r="E1052" s="48"/>
      <c r="F1052" s="48"/>
      <c r="G1052" s="48"/>
    </row>
    <row r="1053" spans="1:7" x14ac:dyDescent="0.25">
      <c r="A1053" s="2" t="s">
        <v>4</v>
      </c>
      <c r="B1053" s="2"/>
      <c r="C1053" s="2" t="s">
        <v>5</v>
      </c>
      <c r="D1053" s="2" t="s">
        <v>6</v>
      </c>
      <c r="E1053" s="3" t="s">
        <v>7</v>
      </c>
      <c r="F1053" s="2" t="s">
        <v>8</v>
      </c>
      <c r="G1053" s="2" t="s">
        <v>9</v>
      </c>
    </row>
    <row r="1054" spans="1:7" x14ac:dyDescent="0.25">
      <c r="A1054" s="4">
        <v>248</v>
      </c>
      <c r="B1054" s="4" t="s">
        <v>115</v>
      </c>
      <c r="C1054" s="4">
        <v>2026</v>
      </c>
      <c r="D1054" s="5">
        <v>51101</v>
      </c>
      <c r="E1054" s="17">
        <v>828248</v>
      </c>
      <c r="F1054" s="7">
        <v>829510</v>
      </c>
      <c r="G1054" s="8">
        <f>E1054-F1054</f>
        <v>-1262</v>
      </c>
    </row>
    <row r="1055" spans="1:7" x14ac:dyDescent="0.25">
      <c r="A1055" s="4">
        <v>248</v>
      </c>
      <c r="B1055" s="4" t="s">
        <v>115</v>
      </c>
      <c r="C1055" s="4">
        <v>2026</v>
      </c>
      <c r="D1055" s="5">
        <v>52111</v>
      </c>
      <c r="E1055" s="18">
        <v>16372.86</v>
      </c>
      <c r="F1055" s="7">
        <v>16397</v>
      </c>
      <c r="G1055" s="8">
        <f t="shared" ref="G1055:G1068" si="31">E1055-F1055</f>
        <v>-24.139999999999418</v>
      </c>
    </row>
    <row r="1056" spans="1:7" x14ac:dyDescent="0.25">
      <c r="A1056" s="4">
        <v>248</v>
      </c>
      <c r="B1056" s="4" t="s">
        <v>115</v>
      </c>
      <c r="C1056" s="4">
        <v>2026</v>
      </c>
      <c r="D1056" s="5">
        <v>52201</v>
      </c>
      <c r="E1056" s="18">
        <v>63353.63</v>
      </c>
      <c r="F1056" s="7">
        <v>63457</v>
      </c>
      <c r="G1056" s="8">
        <f t="shared" si="31"/>
        <v>-103.37000000000262</v>
      </c>
    </row>
    <row r="1057" spans="1:7" x14ac:dyDescent="0.25">
      <c r="A1057" s="4">
        <v>248</v>
      </c>
      <c r="B1057" s="4" t="s">
        <v>115</v>
      </c>
      <c r="C1057" s="4">
        <v>2027</v>
      </c>
      <c r="D1057" s="5">
        <v>51101</v>
      </c>
      <c r="E1057" s="18">
        <v>846248</v>
      </c>
      <c r="F1057" s="7">
        <v>848818</v>
      </c>
      <c r="G1057" s="8">
        <f t="shared" si="31"/>
        <v>-2570</v>
      </c>
    </row>
    <row r="1058" spans="1:7" x14ac:dyDescent="0.25">
      <c r="A1058" s="4">
        <v>248</v>
      </c>
      <c r="B1058" s="4" t="s">
        <v>115</v>
      </c>
      <c r="C1058" s="4">
        <v>2027</v>
      </c>
      <c r="D1058" s="5">
        <v>52111</v>
      </c>
      <c r="E1058" s="18">
        <v>16694.099999999999</v>
      </c>
      <c r="F1058" s="7">
        <v>16738</v>
      </c>
      <c r="G1058" s="8">
        <f t="shared" si="31"/>
        <v>-43.900000000001455</v>
      </c>
    </row>
    <row r="1059" spans="1:7" x14ac:dyDescent="0.25">
      <c r="A1059" s="4">
        <v>248</v>
      </c>
      <c r="B1059" s="4" t="s">
        <v>115</v>
      </c>
      <c r="C1059" s="4">
        <v>2027</v>
      </c>
      <c r="D1059" s="5">
        <v>52201</v>
      </c>
      <c r="E1059" s="18">
        <v>64737.97</v>
      </c>
      <c r="F1059" s="7">
        <v>64935</v>
      </c>
      <c r="G1059" s="8">
        <f t="shared" si="31"/>
        <v>-197.02999999999884</v>
      </c>
    </row>
    <row r="1060" spans="1:7" x14ac:dyDescent="0.25">
      <c r="A1060" s="4">
        <v>248</v>
      </c>
      <c r="B1060" s="4" t="s">
        <v>115</v>
      </c>
      <c r="C1060" s="4">
        <v>2028</v>
      </c>
      <c r="D1060" s="5">
        <v>51101</v>
      </c>
      <c r="E1060" s="18">
        <v>864760</v>
      </c>
      <c r="F1060" s="7">
        <v>874285</v>
      </c>
      <c r="G1060" s="8">
        <f t="shared" si="31"/>
        <v>-9525</v>
      </c>
    </row>
    <row r="1061" spans="1:7" x14ac:dyDescent="0.25">
      <c r="A1061" s="4">
        <v>248</v>
      </c>
      <c r="B1061" s="4" t="s">
        <v>115</v>
      </c>
      <c r="C1061" s="4">
        <v>2028</v>
      </c>
      <c r="D1061" s="5">
        <v>52111</v>
      </c>
      <c r="E1061" s="18">
        <v>17022.939999999999</v>
      </c>
      <c r="F1061" s="7">
        <v>17189</v>
      </c>
      <c r="G1061" s="8">
        <f t="shared" si="31"/>
        <v>-166.06000000000131</v>
      </c>
    </row>
    <row r="1062" spans="1:7" x14ac:dyDescent="0.25">
      <c r="A1062" s="4">
        <v>248</v>
      </c>
      <c r="B1062" s="4" t="s">
        <v>115</v>
      </c>
      <c r="C1062" s="4">
        <v>2028</v>
      </c>
      <c r="D1062" s="5">
        <v>52201</v>
      </c>
      <c r="E1062" s="18">
        <v>66154.14</v>
      </c>
      <c r="F1062" s="7">
        <v>66883</v>
      </c>
      <c r="G1062" s="8">
        <f t="shared" si="31"/>
        <v>-728.86000000000058</v>
      </c>
    </row>
    <row r="1063" spans="1:7" x14ac:dyDescent="0.25">
      <c r="A1063" s="4">
        <v>248</v>
      </c>
      <c r="B1063" s="4" t="s">
        <v>115</v>
      </c>
      <c r="C1063" s="4">
        <v>2029</v>
      </c>
      <c r="D1063" s="5">
        <v>51101</v>
      </c>
      <c r="E1063" s="18">
        <v>873412.8</v>
      </c>
      <c r="F1063" s="7">
        <v>883047</v>
      </c>
      <c r="G1063" s="8">
        <f t="shared" si="31"/>
        <v>-9634.1999999999534</v>
      </c>
    </row>
    <row r="1064" spans="1:7" x14ac:dyDescent="0.25">
      <c r="A1064" s="4">
        <v>248</v>
      </c>
      <c r="B1064" s="4" t="s">
        <v>115</v>
      </c>
      <c r="C1064" s="4">
        <v>2029</v>
      </c>
      <c r="D1064" s="5">
        <v>52111</v>
      </c>
      <c r="E1064" s="18">
        <v>17173.080000000002</v>
      </c>
      <c r="F1064" s="7">
        <v>17341</v>
      </c>
      <c r="G1064" s="8">
        <f t="shared" si="31"/>
        <v>-167.91999999999825</v>
      </c>
    </row>
    <row r="1065" spans="1:7" x14ac:dyDescent="0.25">
      <c r="A1065" s="4">
        <v>248</v>
      </c>
      <c r="B1065" s="4" t="s">
        <v>115</v>
      </c>
      <c r="C1065" s="4">
        <v>2029</v>
      </c>
      <c r="D1065" s="5">
        <v>52201</v>
      </c>
      <c r="E1065" s="18">
        <v>66816.08</v>
      </c>
      <c r="F1065" s="7">
        <v>67553</v>
      </c>
      <c r="G1065" s="8">
        <f t="shared" si="31"/>
        <v>-736.91999999999825</v>
      </c>
    </row>
    <row r="1066" spans="1:7" x14ac:dyDescent="0.25">
      <c r="A1066" s="4">
        <v>248</v>
      </c>
      <c r="B1066" s="4" t="s">
        <v>115</v>
      </c>
      <c r="C1066" s="4">
        <v>2030</v>
      </c>
      <c r="D1066" s="5">
        <v>51101</v>
      </c>
      <c r="E1066" s="18">
        <v>882190.4</v>
      </c>
      <c r="F1066" s="7">
        <v>891888</v>
      </c>
      <c r="G1066" s="8">
        <f t="shared" si="31"/>
        <v>-9697.5999999999767</v>
      </c>
    </row>
    <row r="1067" spans="1:7" x14ac:dyDescent="0.25">
      <c r="A1067" s="4">
        <v>248</v>
      </c>
      <c r="B1067" s="4" t="s">
        <v>115</v>
      </c>
      <c r="C1067" s="4">
        <v>2030</v>
      </c>
      <c r="D1067" s="5">
        <v>52111</v>
      </c>
      <c r="E1067" s="18">
        <v>17325.400000000001</v>
      </c>
      <c r="F1067" s="7">
        <v>17495</v>
      </c>
      <c r="G1067" s="8">
        <f t="shared" si="31"/>
        <v>-169.59999999999854</v>
      </c>
    </row>
    <row r="1068" spans="1:7" x14ac:dyDescent="0.25">
      <c r="A1068" s="4">
        <v>248</v>
      </c>
      <c r="B1068" s="4" t="s">
        <v>115</v>
      </c>
      <c r="C1068" s="4">
        <v>2030</v>
      </c>
      <c r="D1068" s="5">
        <v>52201</v>
      </c>
      <c r="E1068" s="18">
        <v>67487.570000000007</v>
      </c>
      <c r="F1068" s="7">
        <v>68229</v>
      </c>
      <c r="G1068" s="8">
        <f t="shared" si="31"/>
        <v>-741.42999999999302</v>
      </c>
    </row>
    <row r="1069" spans="1:7" x14ac:dyDescent="0.25">
      <c r="E1069" s="11" t="s">
        <v>13</v>
      </c>
      <c r="F1069" s="11"/>
      <c r="G1069" s="9">
        <f>SUM(G1054:G1068)</f>
        <v>-35768.029999999919</v>
      </c>
    </row>
    <row r="1070" spans="1:7" x14ac:dyDescent="0.25">
      <c r="A1070" s="10" t="s">
        <v>116</v>
      </c>
    </row>
    <row r="1071" spans="1:7" x14ac:dyDescent="0.25">
      <c r="A1071" s="2" t="s">
        <v>2</v>
      </c>
      <c r="B1071" s="2"/>
      <c r="C1071" s="2" t="s">
        <v>3</v>
      </c>
      <c r="D1071" s="2"/>
      <c r="E1071" s="48"/>
      <c r="F1071" s="48"/>
      <c r="G1071" s="48"/>
    </row>
    <row r="1072" spans="1:7" x14ac:dyDescent="0.25">
      <c r="A1072" s="2" t="s">
        <v>4</v>
      </c>
      <c r="B1072" s="2"/>
      <c r="C1072" s="2" t="s">
        <v>5</v>
      </c>
      <c r="D1072" s="2" t="s">
        <v>6</v>
      </c>
      <c r="E1072" s="3" t="s">
        <v>7</v>
      </c>
      <c r="F1072" s="3" t="s">
        <v>8</v>
      </c>
      <c r="G1072" s="3" t="s">
        <v>9</v>
      </c>
    </row>
    <row r="1073" spans="1:7" x14ac:dyDescent="0.25">
      <c r="A1073" s="19">
        <v>267</v>
      </c>
      <c r="B1073" s="19" t="s">
        <v>117</v>
      </c>
      <c r="C1073" s="19">
        <v>2026</v>
      </c>
      <c r="D1073" s="20">
        <v>51101</v>
      </c>
      <c r="E1073" s="21">
        <v>4725527.5999999996</v>
      </c>
      <c r="F1073" s="22">
        <v>5085056</v>
      </c>
      <c r="G1073" s="8">
        <v>-359528.4</v>
      </c>
    </row>
    <row r="1074" spans="1:7" x14ac:dyDescent="0.25">
      <c r="A1074" s="19">
        <v>267</v>
      </c>
      <c r="B1074" s="19" t="s">
        <v>117</v>
      </c>
      <c r="C1074" s="19">
        <v>2026</v>
      </c>
      <c r="D1074" s="20">
        <v>52111</v>
      </c>
      <c r="E1074" s="21">
        <v>88048.3</v>
      </c>
      <c r="F1074" s="21">
        <v>94384</v>
      </c>
      <c r="G1074" s="8">
        <v>-6335.7</v>
      </c>
    </row>
    <row r="1075" spans="1:7" x14ac:dyDescent="0.25">
      <c r="A1075" s="19">
        <v>267</v>
      </c>
      <c r="B1075" s="19" t="s">
        <v>117</v>
      </c>
      <c r="C1075" s="19">
        <v>2026</v>
      </c>
      <c r="D1075" s="20">
        <v>52201</v>
      </c>
      <c r="E1075" s="21">
        <v>372507.9</v>
      </c>
      <c r="F1075" s="21">
        <v>405003</v>
      </c>
      <c r="G1075" s="8">
        <v>-32495.1</v>
      </c>
    </row>
    <row r="1076" spans="1:7" x14ac:dyDescent="0.25">
      <c r="A1076" s="19">
        <v>267</v>
      </c>
      <c r="B1076" s="19" t="s">
        <v>117</v>
      </c>
      <c r="C1076" s="19">
        <v>2027</v>
      </c>
      <c r="D1076" s="20">
        <v>51101</v>
      </c>
      <c r="E1076" s="21">
        <v>4778343</v>
      </c>
      <c r="F1076" s="22">
        <v>5142942</v>
      </c>
      <c r="G1076" s="8">
        <v>-364599</v>
      </c>
    </row>
    <row r="1077" spans="1:7" x14ac:dyDescent="0.25">
      <c r="A1077" s="19">
        <v>267</v>
      </c>
      <c r="B1077" s="19" t="s">
        <v>117</v>
      </c>
      <c r="C1077" s="19">
        <v>2027</v>
      </c>
      <c r="D1077" s="20">
        <v>52111</v>
      </c>
      <c r="E1077" s="21">
        <v>88888.86</v>
      </c>
      <c r="F1077" s="21">
        <v>95310</v>
      </c>
      <c r="G1077" s="8">
        <v>-6421.14</v>
      </c>
    </row>
    <row r="1078" spans="1:7" x14ac:dyDescent="0.25">
      <c r="A1078" s="19">
        <v>267</v>
      </c>
      <c r="B1078" s="19" t="s">
        <v>117</v>
      </c>
      <c r="C1078" s="19">
        <v>2027</v>
      </c>
      <c r="D1078" s="20">
        <v>52201</v>
      </c>
      <c r="E1078" s="21">
        <v>376581.5</v>
      </c>
      <c r="F1078" s="21">
        <v>409523</v>
      </c>
      <c r="G1078" s="8">
        <v>-32941.5</v>
      </c>
    </row>
    <row r="1079" spans="1:7" x14ac:dyDescent="0.25">
      <c r="A1079" s="19">
        <v>267</v>
      </c>
      <c r="B1079" s="19" t="s">
        <v>117</v>
      </c>
      <c r="C1079" s="19">
        <v>2028</v>
      </c>
      <c r="D1079" s="20">
        <v>51101</v>
      </c>
      <c r="E1079" s="21">
        <v>4831761.5999999996</v>
      </c>
      <c r="F1079" s="22">
        <v>5203239</v>
      </c>
      <c r="G1079" s="8">
        <v>-371477.4</v>
      </c>
    </row>
    <row r="1080" spans="1:7" x14ac:dyDescent="0.25">
      <c r="A1080" s="19">
        <v>267</v>
      </c>
      <c r="B1080" s="19" t="s">
        <v>117</v>
      </c>
      <c r="C1080" s="19">
        <v>2028</v>
      </c>
      <c r="D1080" s="20">
        <v>52111</v>
      </c>
      <c r="E1080" s="21">
        <v>89738.73</v>
      </c>
      <c r="F1080" s="21">
        <v>96275</v>
      </c>
      <c r="G1080" s="8">
        <v>-6536.27</v>
      </c>
    </row>
    <row r="1081" spans="1:7" x14ac:dyDescent="0.25">
      <c r="A1081" s="19">
        <v>267</v>
      </c>
      <c r="B1081" s="19" t="s">
        <v>117</v>
      </c>
      <c r="C1081" s="19">
        <v>2028</v>
      </c>
      <c r="D1081" s="20">
        <v>52201</v>
      </c>
      <c r="E1081" s="21">
        <v>380792.04</v>
      </c>
      <c r="F1081" s="21">
        <v>414319</v>
      </c>
      <c r="G1081" s="8">
        <v>-33526.959999999999</v>
      </c>
    </row>
    <row r="1082" spans="1:7" x14ac:dyDescent="0.25">
      <c r="A1082" s="19">
        <v>267</v>
      </c>
      <c r="B1082" s="19" t="s">
        <v>117</v>
      </c>
      <c r="C1082" s="19">
        <v>2029</v>
      </c>
      <c r="D1082" s="20">
        <v>51101</v>
      </c>
      <c r="E1082" s="21">
        <v>4882661.4000000004</v>
      </c>
      <c r="F1082" s="22">
        <v>5256881</v>
      </c>
      <c r="G1082" s="8">
        <v>-374219.6</v>
      </c>
    </row>
    <row r="1083" spans="1:7" x14ac:dyDescent="0.25">
      <c r="A1083" s="19">
        <v>267</v>
      </c>
      <c r="B1083" s="19" t="s">
        <v>117</v>
      </c>
      <c r="C1083" s="19">
        <v>2029</v>
      </c>
      <c r="D1083" s="20">
        <v>52111</v>
      </c>
      <c r="E1083" s="21">
        <v>90551.85</v>
      </c>
      <c r="F1083" s="21">
        <v>97135</v>
      </c>
      <c r="G1083" s="8">
        <v>-6583.15</v>
      </c>
    </row>
    <row r="1084" spans="1:7" x14ac:dyDescent="0.25">
      <c r="A1084" s="19">
        <v>267</v>
      </c>
      <c r="B1084" s="19" t="s">
        <v>117</v>
      </c>
      <c r="C1084" s="19">
        <v>2029</v>
      </c>
      <c r="D1084" s="20">
        <v>52201</v>
      </c>
      <c r="E1084" s="21">
        <v>384765.67</v>
      </c>
      <c r="F1084" s="21">
        <v>418562</v>
      </c>
      <c r="G1084" s="8">
        <v>-33796.33</v>
      </c>
    </row>
    <row r="1085" spans="1:7" x14ac:dyDescent="0.25">
      <c r="A1085" s="19">
        <v>267</v>
      </c>
      <c r="B1085" s="19" t="s">
        <v>117</v>
      </c>
      <c r="C1085" s="19">
        <v>2030</v>
      </c>
      <c r="D1085" s="20">
        <v>51101</v>
      </c>
      <c r="E1085" s="21">
        <v>4937694.08</v>
      </c>
      <c r="F1085" s="22">
        <v>5313476</v>
      </c>
      <c r="G1085" s="8">
        <v>-375781.92</v>
      </c>
    </row>
    <row r="1086" spans="1:7" x14ac:dyDescent="0.25">
      <c r="A1086" s="19">
        <v>267</v>
      </c>
      <c r="B1086" s="19" t="s">
        <v>117</v>
      </c>
      <c r="C1086" s="19">
        <v>2030</v>
      </c>
      <c r="D1086" s="20">
        <v>52111</v>
      </c>
      <c r="E1086" s="21">
        <v>91427.28</v>
      </c>
      <c r="F1086" s="21">
        <v>98039</v>
      </c>
      <c r="G1086" s="8">
        <v>-6611.72</v>
      </c>
    </row>
    <row r="1087" spans="1:7" x14ac:dyDescent="0.25">
      <c r="A1087" s="19">
        <v>267</v>
      </c>
      <c r="B1087" s="19" t="s">
        <v>117</v>
      </c>
      <c r="C1087" s="19">
        <v>2030</v>
      </c>
      <c r="D1087" s="20">
        <v>52201</v>
      </c>
      <c r="E1087" s="21">
        <v>389056.27</v>
      </c>
      <c r="F1087" s="21">
        <v>423032</v>
      </c>
      <c r="G1087" s="8">
        <v>-33975.730000000003</v>
      </c>
    </row>
    <row r="1088" spans="1:7" x14ac:dyDescent="0.25">
      <c r="E1088" s="11" t="s">
        <v>13</v>
      </c>
      <c r="F1088" s="11"/>
      <c r="G1088" s="9">
        <f>SUM(G1073:G1087)</f>
        <v>-2044829.9199999997</v>
      </c>
    </row>
    <row r="1089" spans="1:7" x14ac:dyDescent="0.25">
      <c r="A1089" s="10" t="s">
        <v>118</v>
      </c>
    </row>
    <row r="1090" spans="1:7" x14ac:dyDescent="0.25">
      <c r="A1090" s="2" t="s">
        <v>2</v>
      </c>
      <c r="B1090" s="2"/>
      <c r="C1090" s="2" t="s">
        <v>3</v>
      </c>
      <c r="D1090" s="2"/>
      <c r="E1090" s="48"/>
      <c r="F1090" s="48"/>
      <c r="G1090" s="48"/>
    </row>
    <row r="1091" spans="1:7" x14ac:dyDescent="0.25">
      <c r="A1091" s="2" t="s">
        <v>4</v>
      </c>
      <c r="B1091" s="2"/>
      <c r="C1091" s="2" t="s">
        <v>5</v>
      </c>
      <c r="D1091" s="2" t="s">
        <v>6</v>
      </c>
      <c r="E1091" s="3" t="s">
        <v>7</v>
      </c>
      <c r="F1091" s="2" t="s">
        <v>8</v>
      </c>
      <c r="G1091" s="2" t="s">
        <v>9</v>
      </c>
    </row>
    <row r="1092" spans="1:7" x14ac:dyDescent="0.25">
      <c r="A1092" s="4">
        <v>258</v>
      </c>
      <c r="B1092" s="4" t="s">
        <v>119</v>
      </c>
      <c r="C1092" s="4">
        <v>2026</v>
      </c>
      <c r="D1092" s="5">
        <v>51101</v>
      </c>
      <c r="E1092" s="22">
        <v>305576.96000000002</v>
      </c>
      <c r="F1092" s="23">
        <v>314175</v>
      </c>
      <c r="G1092" s="8">
        <v>-8598.0400000000009</v>
      </c>
    </row>
    <row r="1093" spans="1:7" x14ac:dyDescent="0.25">
      <c r="A1093" s="4">
        <v>258</v>
      </c>
      <c r="B1093" s="4" t="s">
        <v>119</v>
      </c>
      <c r="C1093" s="4">
        <v>2026</v>
      </c>
      <c r="D1093" s="5">
        <v>52111</v>
      </c>
      <c r="E1093" s="21">
        <v>5281.8</v>
      </c>
      <c r="F1093" s="23">
        <v>5285</v>
      </c>
      <c r="G1093" s="8">
        <v>-3.2</v>
      </c>
    </row>
    <row r="1094" spans="1:7" x14ac:dyDescent="0.25">
      <c r="A1094" s="4">
        <v>258</v>
      </c>
      <c r="B1094" s="4" t="s">
        <v>119</v>
      </c>
      <c r="C1094" s="4">
        <v>2026</v>
      </c>
      <c r="D1094" s="5">
        <v>52201</v>
      </c>
      <c r="E1094" s="21">
        <v>23376.23</v>
      </c>
      <c r="F1094" s="23">
        <v>24034</v>
      </c>
      <c r="G1094" s="8">
        <v>-657.77</v>
      </c>
    </row>
    <row r="1095" spans="1:7" x14ac:dyDescent="0.25">
      <c r="A1095" s="4">
        <v>258</v>
      </c>
      <c r="B1095" s="4" t="s">
        <v>119</v>
      </c>
      <c r="C1095" s="4">
        <v>2027</v>
      </c>
      <c r="D1095" s="5">
        <v>51101</v>
      </c>
      <c r="E1095" s="21">
        <v>310860.15999999997</v>
      </c>
      <c r="F1095" s="23">
        <v>319714</v>
      </c>
      <c r="G1095" s="8">
        <v>-8853.84</v>
      </c>
    </row>
    <row r="1096" spans="1:7" x14ac:dyDescent="0.25">
      <c r="A1096" s="4">
        <v>258</v>
      </c>
      <c r="B1096" s="4" t="s">
        <v>119</v>
      </c>
      <c r="C1096" s="4">
        <v>2027</v>
      </c>
      <c r="D1096" s="5">
        <v>52111</v>
      </c>
      <c r="E1096" s="21">
        <v>5353.47</v>
      </c>
      <c r="F1096" s="23">
        <v>5357</v>
      </c>
      <c r="G1096" s="8">
        <v>-3.53</v>
      </c>
    </row>
    <row r="1097" spans="1:7" x14ac:dyDescent="0.25">
      <c r="A1097" s="4">
        <v>258</v>
      </c>
      <c r="B1097" s="4" t="s">
        <v>119</v>
      </c>
      <c r="C1097" s="4">
        <v>2027</v>
      </c>
      <c r="D1097" s="5">
        <v>52201</v>
      </c>
      <c r="E1097" s="21">
        <v>32780.800000000003</v>
      </c>
      <c r="F1097" s="23">
        <v>24458</v>
      </c>
      <c r="G1097" s="8">
        <v>8322.7999999999993</v>
      </c>
    </row>
    <row r="1098" spans="1:7" x14ac:dyDescent="0.25">
      <c r="A1098" s="4">
        <v>258</v>
      </c>
      <c r="B1098" s="4" t="s">
        <v>119</v>
      </c>
      <c r="C1098" s="4">
        <v>2028</v>
      </c>
      <c r="D1098" s="5">
        <v>51101</v>
      </c>
      <c r="E1098" s="21">
        <v>316264</v>
      </c>
      <c r="F1098" s="23">
        <v>323496</v>
      </c>
      <c r="G1098" s="8">
        <v>-7232</v>
      </c>
    </row>
    <row r="1099" spans="1:7" x14ac:dyDescent="0.25">
      <c r="A1099" s="4">
        <v>258</v>
      </c>
      <c r="B1099" s="4" t="s">
        <v>119</v>
      </c>
      <c r="C1099" s="4">
        <v>2028</v>
      </c>
      <c r="D1099" s="5">
        <v>52111</v>
      </c>
      <c r="E1099" s="21">
        <v>5426.6</v>
      </c>
      <c r="F1099" s="23">
        <v>5388</v>
      </c>
      <c r="G1099" s="8">
        <v>38.6</v>
      </c>
    </row>
    <row r="1100" spans="1:7" x14ac:dyDescent="0.25">
      <c r="A1100" s="4">
        <v>258</v>
      </c>
      <c r="B1100" s="4" t="s">
        <v>119</v>
      </c>
      <c r="C1100" s="4">
        <v>2028</v>
      </c>
      <c r="D1100" s="5">
        <v>52201</v>
      </c>
      <c r="E1100" s="21">
        <v>24194.19</v>
      </c>
      <c r="F1100" s="23">
        <v>24747</v>
      </c>
      <c r="G1100" s="8">
        <v>-552.80999999999995</v>
      </c>
    </row>
    <row r="1101" spans="1:7" x14ac:dyDescent="0.25">
      <c r="A1101" s="4">
        <v>258</v>
      </c>
      <c r="B1101" s="4" t="s">
        <v>119</v>
      </c>
      <c r="C1101" s="4">
        <v>2029</v>
      </c>
      <c r="D1101" s="5">
        <v>51101</v>
      </c>
      <c r="E1101" s="21">
        <v>319402.71999999997</v>
      </c>
      <c r="F1101" s="23">
        <v>329865</v>
      </c>
      <c r="G1101" s="8">
        <v>-10462.280000000001</v>
      </c>
    </row>
    <row r="1102" spans="1:7" x14ac:dyDescent="0.25">
      <c r="A1102" s="4">
        <v>258</v>
      </c>
      <c r="B1102" s="4" t="s">
        <v>119</v>
      </c>
      <c r="C1102" s="4">
        <v>2029</v>
      </c>
      <c r="D1102" s="5">
        <v>52111</v>
      </c>
      <c r="E1102" s="21">
        <v>5472.61</v>
      </c>
      <c r="F1102" s="23">
        <v>5490</v>
      </c>
      <c r="G1102" s="8">
        <v>-17.39</v>
      </c>
    </row>
    <row r="1103" spans="1:7" x14ac:dyDescent="0.25">
      <c r="A1103" s="4">
        <v>258</v>
      </c>
      <c r="B1103" s="4" t="s">
        <v>119</v>
      </c>
      <c r="C1103" s="4">
        <v>2029</v>
      </c>
      <c r="D1103" s="5">
        <v>52201</v>
      </c>
      <c r="E1103" s="21">
        <v>24434.31</v>
      </c>
      <c r="F1103" s="23">
        <v>25235</v>
      </c>
      <c r="G1103" s="8">
        <v>-800.69</v>
      </c>
    </row>
    <row r="1104" spans="1:7" x14ac:dyDescent="0.25">
      <c r="A1104" s="4">
        <v>258</v>
      </c>
      <c r="B1104" s="4" t="s">
        <v>119</v>
      </c>
      <c r="C1104" s="4">
        <v>2030</v>
      </c>
      <c r="D1104" s="5">
        <v>51101</v>
      </c>
      <c r="E1104" s="21">
        <v>322593.44</v>
      </c>
      <c r="F1104" s="23">
        <v>333179</v>
      </c>
      <c r="G1104" s="8">
        <v>-10585.56</v>
      </c>
    </row>
    <row r="1105" spans="1:7" x14ac:dyDescent="0.25">
      <c r="A1105" s="4">
        <v>258</v>
      </c>
      <c r="B1105" s="4" t="s">
        <v>119</v>
      </c>
      <c r="C1105" s="4">
        <v>2030</v>
      </c>
      <c r="D1105" s="5">
        <v>52111</v>
      </c>
      <c r="E1105" s="21">
        <v>5519.47</v>
      </c>
      <c r="F1105" s="23">
        <v>5537</v>
      </c>
      <c r="G1105" s="8">
        <v>-17.53</v>
      </c>
    </row>
    <row r="1106" spans="1:7" x14ac:dyDescent="0.25">
      <c r="A1106" s="4">
        <v>258</v>
      </c>
      <c r="B1106" s="4" t="s">
        <v>119</v>
      </c>
      <c r="C1106" s="4">
        <v>2030</v>
      </c>
      <c r="D1106" s="5">
        <v>52201</v>
      </c>
      <c r="E1106" s="21">
        <v>24678.400000000001</v>
      </c>
      <c r="F1106" s="23">
        <v>25488</v>
      </c>
      <c r="G1106" s="8">
        <v>-809.6</v>
      </c>
    </row>
    <row r="1107" spans="1:7" x14ac:dyDescent="0.25">
      <c r="E1107" s="11" t="s">
        <v>13</v>
      </c>
      <c r="F1107" s="11"/>
      <c r="G1107" s="9">
        <f>SUM(G1092:G1106)</f>
        <v>-40232.840000000004</v>
      </c>
    </row>
    <row r="1108" spans="1:7" x14ac:dyDescent="0.25">
      <c r="A1108" s="10" t="s">
        <v>120</v>
      </c>
    </row>
    <row r="1109" spans="1:7" x14ac:dyDescent="0.25">
      <c r="A1109" s="2" t="s">
        <v>2</v>
      </c>
      <c r="B1109" s="2"/>
      <c r="C1109" s="2" t="s">
        <v>3</v>
      </c>
      <c r="D1109" s="2"/>
      <c r="E1109" s="48"/>
      <c r="F1109" s="48"/>
      <c r="G1109" s="48"/>
    </row>
    <row r="1110" spans="1:7" x14ac:dyDescent="0.25">
      <c r="A1110" s="2" t="s">
        <v>4</v>
      </c>
      <c r="B1110" s="2"/>
      <c r="C1110" s="2" t="s">
        <v>5</v>
      </c>
      <c r="D1110" s="2" t="s">
        <v>6</v>
      </c>
      <c r="E1110" s="3" t="s">
        <v>7</v>
      </c>
      <c r="F1110" s="3" t="s">
        <v>8</v>
      </c>
      <c r="G1110" s="3" t="s">
        <v>9</v>
      </c>
    </row>
    <row r="1111" spans="1:7" x14ac:dyDescent="0.25">
      <c r="A1111" s="4">
        <v>278</v>
      </c>
      <c r="B1111" s="4" t="s">
        <v>121</v>
      </c>
      <c r="C1111" s="4">
        <v>2026</v>
      </c>
      <c r="D1111" s="5">
        <v>51101</v>
      </c>
      <c r="E1111" s="18">
        <v>3693996.8</v>
      </c>
      <c r="F1111" s="18">
        <v>3694238.5</v>
      </c>
      <c r="G1111" s="17">
        <f t="shared" ref="G1111:G1125" si="32">E1111-F1111</f>
        <v>-241.70000000018626</v>
      </c>
    </row>
    <row r="1112" spans="1:7" x14ac:dyDescent="0.25">
      <c r="A1112" s="4">
        <v>278</v>
      </c>
      <c r="B1112" s="4" t="s">
        <v>121</v>
      </c>
      <c r="C1112" s="4">
        <v>2026</v>
      </c>
      <c r="D1112" s="5">
        <v>52111</v>
      </c>
      <c r="E1112" s="18">
        <v>74667.45</v>
      </c>
      <c r="F1112" s="18">
        <v>74671.37</v>
      </c>
      <c r="G1112" s="17">
        <f t="shared" si="32"/>
        <v>-3.9199999999982538</v>
      </c>
    </row>
    <row r="1113" spans="1:7" x14ac:dyDescent="0.25">
      <c r="A1113" s="4">
        <v>278</v>
      </c>
      <c r="B1113" s="4" t="s">
        <v>121</v>
      </c>
      <c r="C1113" s="4">
        <v>2026</v>
      </c>
      <c r="D1113" s="5">
        <v>52201</v>
      </c>
      <c r="E1113" s="18">
        <v>339497.33</v>
      </c>
      <c r="F1113" s="18">
        <v>339515.81</v>
      </c>
      <c r="G1113" s="17">
        <f t="shared" si="32"/>
        <v>-18.479999999981374</v>
      </c>
    </row>
    <row r="1114" spans="1:7" x14ac:dyDescent="0.25">
      <c r="A1114" s="4">
        <v>278</v>
      </c>
      <c r="B1114" s="4" t="s">
        <v>121</v>
      </c>
      <c r="C1114" s="4">
        <v>2027</v>
      </c>
      <c r="D1114" s="5">
        <v>51101</v>
      </c>
      <c r="E1114" s="18">
        <v>3779505.6</v>
      </c>
      <c r="F1114" s="18">
        <v>3781754.5</v>
      </c>
      <c r="G1114" s="17">
        <f t="shared" si="32"/>
        <v>-2248.8999999999069</v>
      </c>
    </row>
    <row r="1115" spans="1:7" x14ac:dyDescent="0.25">
      <c r="A1115" s="4">
        <v>278</v>
      </c>
      <c r="B1115" s="4" t="s">
        <v>121</v>
      </c>
      <c r="C1115" s="4">
        <v>2027</v>
      </c>
      <c r="D1115" s="5">
        <v>52111</v>
      </c>
      <c r="E1115" s="18">
        <v>76220.3</v>
      </c>
      <c r="F1115" s="18">
        <v>76256.789999999994</v>
      </c>
      <c r="G1115" s="17">
        <f t="shared" si="32"/>
        <v>-36.489999999990687</v>
      </c>
    </row>
    <row r="1116" spans="1:7" x14ac:dyDescent="0.25">
      <c r="A1116" s="4">
        <v>278</v>
      </c>
      <c r="B1116" s="4" t="s">
        <v>121</v>
      </c>
      <c r="C1116" s="4">
        <v>2027</v>
      </c>
      <c r="D1116" s="5">
        <v>52201</v>
      </c>
      <c r="E1116" s="18">
        <v>348146.73</v>
      </c>
      <c r="F1116" s="18">
        <v>348318.77</v>
      </c>
      <c r="G1116" s="17">
        <f t="shared" si="32"/>
        <v>-172.04000000003725</v>
      </c>
    </row>
    <row r="1117" spans="1:7" x14ac:dyDescent="0.25">
      <c r="A1117" s="4">
        <v>278</v>
      </c>
      <c r="B1117" s="4" t="s">
        <v>121</v>
      </c>
      <c r="C1117" s="4">
        <v>2028</v>
      </c>
      <c r="D1117" s="5">
        <v>51101</v>
      </c>
      <c r="E1117" s="18">
        <v>3968473.6</v>
      </c>
      <c r="F1117" s="18">
        <v>3973830.85</v>
      </c>
      <c r="G1117" s="17">
        <f t="shared" si="32"/>
        <v>-5357.25</v>
      </c>
    </row>
    <row r="1118" spans="1:7" x14ac:dyDescent="0.25">
      <c r="A1118" s="4">
        <v>278</v>
      </c>
      <c r="B1118" s="4" t="s">
        <v>121</v>
      </c>
      <c r="C1118" s="4">
        <v>2028</v>
      </c>
      <c r="D1118" s="5">
        <v>52111</v>
      </c>
      <c r="E1118" s="18">
        <v>77950.36</v>
      </c>
      <c r="F1118" s="18">
        <v>78037.27</v>
      </c>
      <c r="G1118" s="17">
        <f t="shared" si="32"/>
        <v>-86.910000000003492</v>
      </c>
    </row>
    <row r="1119" spans="1:7" x14ac:dyDescent="0.25">
      <c r="A1119" s="4">
        <v>278</v>
      </c>
      <c r="B1119" s="4" t="s">
        <v>121</v>
      </c>
      <c r="C1119" s="4">
        <v>2028</v>
      </c>
      <c r="D1119" s="5">
        <v>52201</v>
      </c>
      <c r="E1119" s="18">
        <v>364826.25</v>
      </c>
      <c r="F1119" s="18">
        <v>365236.08</v>
      </c>
      <c r="G1119" s="17">
        <f t="shared" si="32"/>
        <v>-409.8300000000163</v>
      </c>
    </row>
    <row r="1120" spans="1:7" x14ac:dyDescent="0.25">
      <c r="A1120" s="4">
        <v>278</v>
      </c>
      <c r="B1120" s="4" t="s">
        <v>121</v>
      </c>
      <c r="C1120" s="4">
        <v>2029</v>
      </c>
      <c r="D1120" s="5">
        <v>51101</v>
      </c>
      <c r="E1120" s="18">
        <v>4026276.8</v>
      </c>
      <c r="F1120" s="18">
        <v>4031708.93</v>
      </c>
      <c r="G1120" s="17">
        <f t="shared" si="32"/>
        <v>-5432.1300000003539</v>
      </c>
    </row>
    <row r="1121" spans="1:7" x14ac:dyDescent="0.25">
      <c r="A1121" s="4">
        <v>278</v>
      </c>
      <c r="B1121" s="4" t="s">
        <v>121</v>
      </c>
      <c r="C1121" s="4">
        <v>2029</v>
      </c>
      <c r="D1121" s="5">
        <v>52111</v>
      </c>
      <c r="E1121" s="18">
        <v>78973.38</v>
      </c>
      <c r="F1121" s="18">
        <v>79061.509999999995</v>
      </c>
      <c r="G1121" s="17">
        <f t="shared" si="32"/>
        <v>-88.129999999990105</v>
      </c>
    </row>
    <row r="1122" spans="1:7" x14ac:dyDescent="0.25">
      <c r="A1122" s="4">
        <v>278</v>
      </c>
      <c r="B1122" s="4" t="s">
        <v>121</v>
      </c>
      <c r="C1122" s="4">
        <v>2029</v>
      </c>
      <c r="D1122" s="5">
        <v>52201</v>
      </c>
      <c r="E1122" s="18">
        <v>370001.98</v>
      </c>
      <c r="F1122" s="18">
        <v>370417.53</v>
      </c>
      <c r="G1122" s="17">
        <f t="shared" si="32"/>
        <v>-415.55000000004657</v>
      </c>
    </row>
    <row r="1123" spans="1:7" x14ac:dyDescent="0.25">
      <c r="A1123" s="4">
        <v>278</v>
      </c>
      <c r="B1123" s="4" t="s">
        <v>121</v>
      </c>
      <c r="C1123" s="4">
        <v>2030</v>
      </c>
      <c r="D1123" s="5">
        <v>51101</v>
      </c>
      <c r="E1123" s="18">
        <v>4088866.5</v>
      </c>
      <c r="F1123" s="18">
        <v>4094342.72</v>
      </c>
      <c r="G1123" s="17">
        <f t="shared" si="32"/>
        <v>-5476.2200000002049</v>
      </c>
    </row>
    <row r="1124" spans="1:7" x14ac:dyDescent="0.25">
      <c r="A1124" s="4">
        <v>278</v>
      </c>
      <c r="B1124" s="4" t="s">
        <v>121</v>
      </c>
      <c r="C1124" s="4">
        <v>2030</v>
      </c>
      <c r="D1124" s="5">
        <v>52111</v>
      </c>
      <c r="E1124" s="18">
        <v>80053.36</v>
      </c>
      <c r="F1124" s="18">
        <v>80142.210000000006</v>
      </c>
      <c r="G1124" s="17">
        <f t="shared" si="32"/>
        <v>-88.850000000005821</v>
      </c>
    </row>
    <row r="1125" spans="1:7" x14ac:dyDescent="0.25">
      <c r="A1125" s="4">
        <v>278</v>
      </c>
      <c r="B1125" s="4" t="s">
        <v>121</v>
      </c>
      <c r="C1125" s="4">
        <v>2030</v>
      </c>
      <c r="D1125" s="5">
        <v>52201</v>
      </c>
      <c r="E1125" s="18">
        <v>375607.23</v>
      </c>
      <c r="F1125" s="18">
        <v>376026.16</v>
      </c>
      <c r="G1125" s="17">
        <f t="shared" si="32"/>
        <v>-418.92999999999302</v>
      </c>
    </row>
    <row r="1126" spans="1:7" x14ac:dyDescent="0.25">
      <c r="E1126" s="11" t="s">
        <v>13</v>
      </c>
      <c r="F1126" s="11"/>
      <c r="G1126" s="9">
        <f>SUM(G1111:G1125)</f>
        <v>-20495.330000000715</v>
      </c>
    </row>
    <row r="1128" spans="1:7" x14ac:dyDescent="0.25">
      <c r="A1128" s="1" t="s">
        <v>122</v>
      </c>
    </row>
    <row r="1129" spans="1:7" x14ac:dyDescent="0.25">
      <c r="A1129" s="2" t="s">
        <v>2</v>
      </c>
      <c r="B1129" s="2"/>
      <c r="C1129" s="2" t="s">
        <v>3</v>
      </c>
      <c r="D1129" s="2"/>
      <c r="E1129" s="48"/>
      <c r="F1129" s="48"/>
      <c r="G1129" s="48"/>
    </row>
    <row r="1130" spans="1:7" x14ac:dyDescent="0.25">
      <c r="A1130" s="2" t="s">
        <v>4</v>
      </c>
      <c r="B1130" s="2"/>
      <c r="C1130" s="2" t="s">
        <v>5</v>
      </c>
      <c r="D1130" s="2" t="s">
        <v>6</v>
      </c>
      <c r="E1130" s="2" t="s">
        <v>7</v>
      </c>
      <c r="F1130" s="2" t="s">
        <v>8</v>
      </c>
      <c r="G1130" s="2" t="s">
        <v>9</v>
      </c>
    </row>
    <row r="1131" spans="1:7" x14ac:dyDescent="0.25">
      <c r="A1131" s="4">
        <v>285</v>
      </c>
      <c r="B1131" s="4" t="s">
        <v>123</v>
      </c>
      <c r="C1131" s="4">
        <v>2026</v>
      </c>
      <c r="D1131" s="4">
        <v>51103</v>
      </c>
      <c r="E1131" s="13">
        <v>46200</v>
      </c>
      <c r="F1131" s="8">
        <v>62070</v>
      </c>
      <c r="G1131" s="8">
        <f t="shared" ref="G1131:G1140" si="33">E1131-F1131</f>
        <v>-15870</v>
      </c>
    </row>
    <row r="1132" spans="1:7" x14ac:dyDescent="0.25">
      <c r="A1132" s="4">
        <v>286</v>
      </c>
      <c r="B1132" s="4" t="s">
        <v>123</v>
      </c>
      <c r="C1132" s="4">
        <v>2026</v>
      </c>
      <c r="D1132" s="4">
        <v>52201</v>
      </c>
      <c r="E1132" s="13">
        <v>3534</v>
      </c>
      <c r="F1132" s="8">
        <v>4748</v>
      </c>
      <c r="G1132" s="8">
        <f t="shared" si="33"/>
        <v>-1214</v>
      </c>
    </row>
    <row r="1133" spans="1:7" x14ac:dyDescent="0.25">
      <c r="A1133" s="4">
        <v>287</v>
      </c>
      <c r="B1133" s="4" t="s">
        <v>123</v>
      </c>
      <c r="C1133" s="4">
        <v>2027</v>
      </c>
      <c r="D1133" s="4">
        <v>51103</v>
      </c>
      <c r="E1133" s="13">
        <v>46200</v>
      </c>
      <c r="F1133" s="8">
        <v>62691</v>
      </c>
      <c r="G1133" s="8">
        <f t="shared" si="33"/>
        <v>-16491</v>
      </c>
    </row>
    <row r="1134" spans="1:7" x14ac:dyDescent="0.25">
      <c r="A1134" s="4">
        <v>288</v>
      </c>
      <c r="B1134" s="4" t="s">
        <v>123</v>
      </c>
      <c r="C1134" s="4">
        <v>2027</v>
      </c>
      <c r="D1134" s="4">
        <v>52201</v>
      </c>
      <c r="E1134" s="13">
        <v>3534</v>
      </c>
      <c r="F1134" s="8">
        <v>4796</v>
      </c>
      <c r="G1134" s="8">
        <f t="shared" si="33"/>
        <v>-1262</v>
      </c>
    </row>
    <row r="1135" spans="1:7" x14ac:dyDescent="0.25">
      <c r="A1135" s="4">
        <v>289</v>
      </c>
      <c r="B1135" s="4" t="s">
        <v>123</v>
      </c>
      <c r="C1135" s="4">
        <v>2028</v>
      </c>
      <c r="D1135" s="4">
        <v>51103</v>
      </c>
      <c r="E1135" s="13">
        <v>46200</v>
      </c>
      <c r="F1135" s="8">
        <v>63318</v>
      </c>
      <c r="G1135" s="8">
        <f t="shared" si="33"/>
        <v>-17118</v>
      </c>
    </row>
    <row r="1136" spans="1:7" x14ac:dyDescent="0.25">
      <c r="A1136" s="4">
        <v>290</v>
      </c>
      <c r="B1136" s="4" t="s">
        <v>123</v>
      </c>
      <c r="C1136" s="4">
        <v>2028</v>
      </c>
      <c r="D1136" s="4">
        <v>52201</v>
      </c>
      <c r="E1136" s="13">
        <v>3534</v>
      </c>
      <c r="F1136" s="8">
        <v>4844</v>
      </c>
      <c r="G1136" s="8">
        <f t="shared" si="33"/>
        <v>-1310</v>
      </c>
    </row>
    <row r="1137" spans="1:7" x14ac:dyDescent="0.25">
      <c r="A1137" s="4">
        <v>291</v>
      </c>
      <c r="B1137" s="4" t="s">
        <v>123</v>
      </c>
      <c r="C1137" s="4">
        <v>2029</v>
      </c>
      <c r="D1137" s="4">
        <v>51103</v>
      </c>
      <c r="E1137" s="13">
        <v>46200</v>
      </c>
      <c r="F1137" s="8">
        <v>63951</v>
      </c>
      <c r="G1137" s="8">
        <f t="shared" si="33"/>
        <v>-17751</v>
      </c>
    </row>
    <row r="1138" spans="1:7" x14ac:dyDescent="0.25">
      <c r="A1138" s="4">
        <v>292</v>
      </c>
      <c r="B1138" s="4" t="s">
        <v>123</v>
      </c>
      <c r="C1138" s="4">
        <v>2029</v>
      </c>
      <c r="D1138" s="4">
        <v>52201</v>
      </c>
      <c r="E1138" s="13">
        <v>3534</v>
      </c>
      <c r="F1138" s="8">
        <v>4892</v>
      </c>
      <c r="G1138" s="8">
        <f t="shared" si="33"/>
        <v>-1358</v>
      </c>
    </row>
    <row r="1139" spans="1:7" x14ac:dyDescent="0.25">
      <c r="A1139" s="4">
        <v>293</v>
      </c>
      <c r="B1139" s="4" t="s">
        <v>123</v>
      </c>
      <c r="C1139" s="4">
        <v>2030</v>
      </c>
      <c r="D1139" s="4">
        <v>51103</v>
      </c>
      <c r="E1139" s="13">
        <v>46200</v>
      </c>
      <c r="F1139" s="8">
        <v>65230</v>
      </c>
      <c r="G1139" s="8">
        <f t="shared" si="33"/>
        <v>-19030</v>
      </c>
    </row>
    <row r="1140" spans="1:7" x14ac:dyDescent="0.25">
      <c r="A1140" s="4">
        <v>294</v>
      </c>
      <c r="B1140" s="4" t="s">
        <v>123</v>
      </c>
      <c r="C1140" s="4">
        <v>2030</v>
      </c>
      <c r="D1140" s="4">
        <v>52201</v>
      </c>
      <c r="E1140" s="13">
        <v>3534</v>
      </c>
      <c r="F1140" s="8">
        <v>4990</v>
      </c>
      <c r="G1140" s="8">
        <f t="shared" si="33"/>
        <v>-1456</v>
      </c>
    </row>
    <row r="1141" spans="1:7" x14ac:dyDescent="0.25">
      <c r="E1141" s="56" t="s">
        <v>105</v>
      </c>
      <c r="F1141" s="56"/>
      <c r="G1141" s="9">
        <f>SUM(G1131:G1140)</f>
        <v>-92860</v>
      </c>
    </row>
    <row r="1143" spans="1:7" x14ac:dyDescent="0.25">
      <c r="A1143" s="1" t="s">
        <v>124</v>
      </c>
    </row>
    <row r="1144" spans="1:7" x14ac:dyDescent="0.25">
      <c r="A1144" s="2" t="s">
        <v>2</v>
      </c>
      <c r="B1144" s="2"/>
      <c r="C1144" s="2" t="s">
        <v>3</v>
      </c>
      <c r="D1144" s="2"/>
      <c r="E1144" s="48"/>
      <c r="F1144" s="48"/>
      <c r="G1144" s="48"/>
    </row>
    <row r="1145" spans="1:7" x14ac:dyDescent="0.25">
      <c r="A1145" s="2" t="s">
        <v>4</v>
      </c>
      <c r="B1145" s="2"/>
      <c r="C1145" s="2" t="s">
        <v>5</v>
      </c>
      <c r="D1145" s="2" t="s">
        <v>6</v>
      </c>
      <c r="E1145" s="2" t="s">
        <v>7</v>
      </c>
      <c r="F1145" s="2" t="s">
        <v>8</v>
      </c>
      <c r="G1145" s="2" t="s">
        <v>9</v>
      </c>
    </row>
    <row r="1146" spans="1:7" x14ac:dyDescent="0.25">
      <c r="A1146" s="4">
        <v>267</v>
      </c>
      <c r="B1146" s="4" t="s">
        <v>104</v>
      </c>
      <c r="C1146" s="4">
        <v>2026</v>
      </c>
      <c r="D1146" s="4">
        <v>51101</v>
      </c>
      <c r="E1146" s="8">
        <v>0</v>
      </c>
      <c r="F1146" s="8">
        <v>76294</v>
      </c>
      <c r="G1146" s="8">
        <f t="shared" ref="G1146:G1165" si="34">E1146-F1146</f>
        <v>-76294</v>
      </c>
    </row>
    <row r="1147" spans="1:7" x14ac:dyDescent="0.25">
      <c r="A1147" s="4">
        <v>267</v>
      </c>
      <c r="B1147" s="4" t="s">
        <v>104</v>
      </c>
      <c r="C1147" s="4">
        <v>2026</v>
      </c>
      <c r="D1147" s="4">
        <v>52101</v>
      </c>
      <c r="E1147" s="8">
        <v>0</v>
      </c>
      <c r="F1147" s="8">
        <v>9539</v>
      </c>
      <c r="G1147" s="8">
        <f t="shared" si="34"/>
        <v>-9539</v>
      </c>
    </row>
    <row r="1148" spans="1:7" x14ac:dyDescent="0.25">
      <c r="A1148" s="4">
        <v>267</v>
      </c>
      <c r="B1148" s="4" t="s">
        <v>104</v>
      </c>
      <c r="C1148" s="4">
        <v>2026</v>
      </c>
      <c r="D1148" s="4">
        <v>52111</v>
      </c>
      <c r="E1148" s="8">
        <v>0</v>
      </c>
      <c r="F1148" s="8">
        <v>2483</v>
      </c>
      <c r="G1148" s="8">
        <f t="shared" si="34"/>
        <v>-2483</v>
      </c>
    </row>
    <row r="1149" spans="1:7" x14ac:dyDescent="0.25">
      <c r="A1149" s="4">
        <v>267</v>
      </c>
      <c r="B1149" s="4" t="s">
        <v>104</v>
      </c>
      <c r="C1149" s="4">
        <v>2026</v>
      </c>
      <c r="D1149" s="4">
        <v>52201</v>
      </c>
      <c r="E1149" s="8">
        <v>0</v>
      </c>
      <c r="F1149" s="8">
        <v>4730</v>
      </c>
      <c r="G1149" s="8">
        <f t="shared" si="34"/>
        <v>-4730</v>
      </c>
    </row>
    <row r="1150" spans="1:7" x14ac:dyDescent="0.25">
      <c r="A1150" s="4">
        <v>267</v>
      </c>
      <c r="B1150" s="4" t="s">
        <v>104</v>
      </c>
      <c r="C1150" s="4">
        <v>2027</v>
      </c>
      <c r="D1150" s="4">
        <v>51101</v>
      </c>
      <c r="E1150" s="8">
        <v>0</v>
      </c>
      <c r="F1150" s="8">
        <v>77064</v>
      </c>
      <c r="G1150" s="8">
        <f t="shared" si="34"/>
        <v>-77064</v>
      </c>
    </row>
    <row r="1151" spans="1:7" x14ac:dyDescent="0.25">
      <c r="A1151" s="4">
        <v>267</v>
      </c>
      <c r="B1151" s="4" t="s">
        <v>104</v>
      </c>
      <c r="C1151" s="4">
        <v>2027</v>
      </c>
      <c r="D1151" s="4">
        <v>52101</v>
      </c>
      <c r="E1151" s="8">
        <v>0</v>
      </c>
      <c r="F1151" s="8">
        <f>296+9539</f>
        <v>9835</v>
      </c>
      <c r="G1151" s="8">
        <f t="shared" si="34"/>
        <v>-9835</v>
      </c>
    </row>
    <row r="1152" spans="1:7" x14ac:dyDescent="0.25">
      <c r="A1152" s="4">
        <v>267</v>
      </c>
      <c r="B1152" s="4" t="s">
        <v>104</v>
      </c>
      <c r="C1152" s="4">
        <v>2027</v>
      </c>
      <c r="D1152" s="4">
        <v>52111</v>
      </c>
      <c r="E1152" s="8">
        <v>0</v>
      </c>
      <c r="F1152" s="8">
        <v>2507</v>
      </c>
      <c r="G1152" s="8">
        <f t="shared" si="34"/>
        <v>-2507</v>
      </c>
    </row>
    <row r="1153" spans="1:7" x14ac:dyDescent="0.25">
      <c r="A1153" s="4">
        <v>267</v>
      </c>
      <c r="B1153" s="4" t="s">
        <v>104</v>
      </c>
      <c r="C1153" s="4">
        <v>2027</v>
      </c>
      <c r="D1153" s="4">
        <v>52201</v>
      </c>
      <c r="E1153" s="8">
        <v>0</v>
      </c>
      <c r="F1153" s="8">
        <v>4778</v>
      </c>
      <c r="G1153" s="8">
        <f t="shared" si="34"/>
        <v>-4778</v>
      </c>
    </row>
    <row r="1154" spans="1:7" x14ac:dyDescent="0.25">
      <c r="A1154" s="4">
        <v>267</v>
      </c>
      <c r="B1154" s="4" t="s">
        <v>104</v>
      </c>
      <c r="C1154" s="4">
        <v>2028</v>
      </c>
      <c r="D1154" s="4">
        <v>51101</v>
      </c>
      <c r="E1154" s="8">
        <v>0</v>
      </c>
      <c r="F1154" s="8">
        <v>77834</v>
      </c>
      <c r="G1154" s="8">
        <f t="shared" si="34"/>
        <v>-77834</v>
      </c>
    </row>
    <row r="1155" spans="1:7" x14ac:dyDescent="0.25">
      <c r="A1155" s="4">
        <v>267</v>
      </c>
      <c r="B1155" s="4" t="s">
        <v>104</v>
      </c>
      <c r="C1155" s="4">
        <v>2028</v>
      </c>
      <c r="D1155" s="4">
        <v>52101</v>
      </c>
      <c r="E1155" s="8">
        <v>0</v>
      </c>
      <c r="F1155" s="8">
        <f>601+9539</f>
        <v>10140</v>
      </c>
      <c r="G1155" s="8">
        <f t="shared" si="34"/>
        <v>-10140</v>
      </c>
    </row>
    <row r="1156" spans="1:7" x14ac:dyDescent="0.25">
      <c r="A1156" s="4">
        <v>267</v>
      </c>
      <c r="B1156" s="4" t="s">
        <v>104</v>
      </c>
      <c r="C1156" s="4">
        <v>2028</v>
      </c>
      <c r="D1156" s="4">
        <v>52111</v>
      </c>
      <c r="E1156" s="8">
        <v>0</v>
      </c>
      <c r="F1156" s="8">
        <v>2532</v>
      </c>
      <c r="G1156" s="8">
        <f t="shared" si="34"/>
        <v>-2532</v>
      </c>
    </row>
    <row r="1157" spans="1:7" x14ac:dyDescent="0.25">
      <c r="A1157" s="4">
        <v>267</v>
      </c>
      <c r="B1157" s="4" t="s">
        <v>104</v>
      </c>
      <c r="C1157" s="4">
        <v>2028</v>
      </c>
      <c r="D1157" s="4">
        <v>52201</v>
      </c>
      <c r="E1157" s="8">
        <v>0</v>
      </c>
      <c r="F1157" s="8">
        <v>4826</v>
      </c>
      <c r="G1157" s="8">
        <f t="shared" si="34"/>
        <v>-4826</v>
      </c>
    </row>
    <row r="1158" spans="1:7" x14ac:dyDescent="0.25">
      <c r="A1158" s="4">
        <v>267</v>
      </c>
      <c r="B1158" s="4" t="s">
        <v>104</v>
      </c>
      <c r="C1158" s="4">
        <v>2029</v>
      </c>
      <c r="D1158" s="4">
        <v>51101</v>
      </c>
      <c r="E1158" s="8">
        <v>0</v>
      </c>
      <c r="F1158" s="8">
        <v>78603</v>
      </c>
      <c r="G1158" s="8">
        <f t="shared" si="34"/>
        <v>-78603</v>
      </c>
    </row>
    <row r="1159" spans="1:7" x14ac:dyDescent="0.25">
      <c r="A1159" s="4">
        <v>267</v>
      </c>
      <c r="B1159" s="4" t="s">
        <v>104</v>
      </c>
      <c r="C1159" s="4">
        <v>2029</v>
      </c>
      <c r="D1159" s="4">
        <v>52101</v>
      </c>
      <c r="E1159" s="8">
        <v>0</v>
      </c>
      <c r="F1159" s="8">
        <f>915+9539</f>
        <v>10454</v>
      </c>
      <c r="G1159" s="8">
        <f t="shared" si="34"/>
        <v>-10454</v>
      </c>
    </row>
    <row r="1160" spans="1:7" x14ac:dyDescent="0.25">
      <c r="A1160" s="4">
        <v>267</v>
      </c>
      <c r="B1160" s="4" t="s">
        <v>104</v>
      </c>
      <c r="C1160" s="4">
        <v>2029</v>
      </c>
      <c r="D1160" s="4">
        <v>52111</v>
      </c>
      <c r="E1160" s="8">
        <v>0</v>
      </c>
      <c r="F1160" s="8">
        <v>2555</v>
      </c>
      <c r="G1160" s="8">
        <f t="shared" si="34"/>
        <v>-2555</v>
      </c>
    </row>
    <row r="1161" spans="1:7" x14ac:dyDescent="0.25">
      <c r="A1161" s="4">
        <v>267</v>
      </c>
      <c r="B1161" s="4" t="s">
        <v>104</v>
      </c>
      <c r="C1161" s="4">
        <v>2029</v>
      </c>
      <c r="D1161" s="4">
        <v>52201</v>
      </c>
      <c r="E1161" s="8">
        <v>0</v>
      </c>
      <c r="F1161" s="8">
        <v>4873</v>
      </c>
      <c r="G1161" s="8">
        <f t="shared" si="34"/>
        <v>-4873</v>
      </c>
    </row>
    <row r="1162" spans="1:7" x14ac:dyDescent="0.25">
      <c r="A1162" s="4">
        <v>267</v>
      </c>
      <c r="B1162" s="4" t="s">
        <v>104</v>
      </c>
      <c r="C1162" s="4">
        <v>2030</v>
      </c>
      <c r="D1162" s="4">
        <v>51101</v>
      </c>
      <c r="E1162" s="8">
        <v>0</v>
      </c>
      <c r="F1162" s="8">
        <v>79394</v>
      </c>
      <c r="G1162" s="8">
        <f t="shared" si="34"/>
        <v>-79394</v>
      </c>
    </row>
    <row r="1163" spans="1:7" x14ac:dyDescent="0.25">
      <c r="A1163" s="4">
        <v>267</v>
      </c>
      <c r="B1163" s="4" t="s">
        <v>104</v>
      </c>
      <c r="C1163" s="4">
        <v>2030</v>
      </c>
      <c r="D1163" s="4">
        <v>52101</v>
      </c>
      <c r="E1163" s="8">
        <v>0</v>
      </c>
      <c r="F1163" s="8">
        <f>1239+9539</f>
        <v>10778</v>
      </c>
      <c r="G1163" s="8">
        <f t="shared" si="34"/>
        <v>-10778</v>
      </c>
    </row>
    <row r="1164" spans="1:7" x14ac:dyDescent="0.25">
      <c r="A1164" s="4">
        <v>267</v>
      </c>
      <c r="B1164" s="4" t="s">
        <v>104</v>
      </c>
      <c r="C1164" s="4">
        <v>2030</v>
      </c>
      <c r="D1164" s="4">
        <v>52111</v>
      </c>
      <c r="E1164" s="8">
        <v>0</v>
      </c>
      <c r="F1164" s="8">
        <v>2579</v>
      </c>
      <c r="G1164" s="8">
        <f t="shared" si="34"/>
        <v>-2579</v>
      </c>
    </row>
    <row r="1165" spans="1:7" x14ac:dyDescent="0.25">
      <c r="A1165" s="4">
        <v>267</v>
      </c>
      <c r="B1165" s="4" t="s">
        <v>104</v>
      </c>
      <c r="C1165" s="4">
        <v>2030</v>
      </c>
      <c r="D1165" s="4">
        <v>52201</v>
      </c>
      <c r="E1165" s="8">
        <v>0</v>
      </c>
      <c r="F1165" s="8">
        <v>4922</v>
      </c>
      <c r="G1165" s="8">
        <f t="shared" si="34"/>
        <v>-4922</v>
      </c>
    </row>
    <row r="1166" spans="1:7" x14ac:dyDescent="0.25">
      <c r="E1166" s="56" t="s">
        <v>105</v>
      </c>
      <c r="F1166" s="56"/>
      <c r="G1166" s="9">
        <f>SUM(G1146:G1165)</f>
        <v>-476720</v>
      </c>
    </row>
    <row r="1168" spans="1:7" x14ac:dyDescent="0.25">
      <c r="A1168" s="1" t="s">
        <v>125</v>
      </c>
    </row>
    <row r="1169" spans="1:7" x14ac:dyDescent="0.25">
      <c r="A1169" s="2" t="s">
        <v>2</v>
      </c>
      <c r="B1169" s="2"/>
      <c r="C1169" s="2" t="s">
        <v>3</v>
      </c>
      <c r="D1169" s="2"/>
      <c r="E1169" s="48"/>
      <c r="F1169" s="48"/>
      <c r="G1169" s="48"/>
    </row>
    <row r="1170" spans="1:7" x14ac:dyDescent="0.25">
      <c r="A1170" s="2" t="s">
        <v>4</v>
      </c>
      <c r="B1170" s="2"/>
      <c r="C1170" s="2" t="s">
        <v>5</v>
      </c>
      <c r="D1170" s="2" t="s">
        <v>6</v>
      </c>
      <c r="E1170" s="2" t="s">
        <v>7</v>
      </c>
      <c r="F1170" s="2" t="s">
        <v>8</v>
      </c>
      <c r="G1170" s="2" t="s">
        <v>9</v>
      </c>
    </row>
    <row r="1171" spans="1:7" x14ac:dyDescent="0.25">
      <c r="A1171" s="4">
        <v>267</v>
      </c>
      <c r="B1171" s="4" t="s">
        <v>104</v>
      </c>
      <c r="C1171" s="4">
        <v>2026</v>
      </c>
      <c r="D1171" s="4">
        <v>51101</v>
      </c>
      <c r="E1171" s="8">
        <v>0</v>
      </c>
      <c r="F1171" s="8">
        <v>413710</v>
      </c>
      <c r="G1171" s="8">
        <f t="shared" ref="G1171:G1190" si="35">E1171-F1171</f>
        <v>-413710</v>
      </c>
    </row>
    <row r="1172" spans="1:7" x14ac:dyDescent="0.25">
      <c r="A1172" s="4">
        <v>267</v>
      </c>
      <c r="B1172" s="4" t="s">
        <v>104</v>
      </c>
      <c r="C1172" s="4">
        <v>2026</v>
      </c>
      <c r="D1172" s="4">
        <v>52101</v>
      </c>
      <c r="E1172" s="8">
        <v>0</v>
      </c>
      <c r="F1172" s="8">
        <v>47695</v>
      </c>
      <c r="G1172" s="8">
        <f t="shared" si="35"/>
        <v>-47695</v>
      </c>
    </row>
    <row r="1173" spans="1:7" x14ac:dyDescent="0.25">
      <c r="A1173" s="4">
        <v>267</v>
      </c>
      <c r="B1173" s="4" t="s">
        <v>104</v>
      </c>
      <c r="C1173" s="4">
        <v>2026</v>
      </c>
      <c r="D1173" s="4">
        <v>52111</v>
      </c>
      <c r="E1173" s="8">
        <v>0</v>
      </c>
      <c r="F1173" s="8">
        <v>13410</v>
      </c>
      <c r="G1173" s="8">
        <f t="shared" si="35"/>
        <v>-13410</v>
      </c>
    </row>
    <row r="1174" spans="1:7" x14ac:dyDescent="0.25">
      <c r="A1174" s="4">
        <v>267</v>
      </c>
      <c r="B1174" s="4" t="s">
        <v>104</v>
      </c>
      <c r="C1174" s="4">
        <v>2026</v>
      </c>
      <c r="D1174" s="4">
        <v>52201</v>
      </c>
      <c r="E1174" s="8">
        <v>0</v>
      </c>
      <c r="F1174" s="8">
        <v>25650</v>
      </c>
      <c r="G1174" s="8">
        <f t="shared" si="35"/>
        <v>-25650</v>
      </c>
    </row>
    <row r="1175" spans="1:7" x14ac:dyDescent="0.25">
      <c r="A1175" s="4">
        <v>267</v>
      </c>
      <c r="B1175" s="4" t="s">
        <v>104</v>
      </c>
      <c r="C1175" s="4">
        <v>2027</v>
      </c>
      <c r="D1175" s="4">
        <v>51101</v>
      </c>
      <c r="E1175" s="8">
        <v>0</v>
      </c>
      <c r="F1175" s="8">
        <v>417870</v>
      </c>
      <c r="G1175" s="8">
        <f t="shared" si="35"/>
        <v>-417870</v>
      </c>
    </row>
    <row r="1176" spans="1:7" x14ac:dyDescent="0.25">
      <c r="A1176" s="4">
        <v>267</v>
      </c>
      <c r="B1176" s="4" t="s">
        <v>104</v>
      </c>
      <c r="C1176" s="4">
        <v>2027</v>
      </c>
      <c r="D1176" s="4">
        <v>52101</v>
      </c>
      <c r="E1176" s="8">
        <v>0</v>
      </c>
      <c r="F1176" s="8">
        <v>49175</v>
      </c>
      <c r="G1176" s="8">
        <f t="shared" si="35"/>
        <v>-49175</v>
      </c>
    </row>
    <row r="1177" spans="1:7" x14ac:dyDescent="0.25">
      <c r="A1177" s="4">
        <v>267</v>
      </c>
      <c r="B1177" s="4" t="s">
        <v>104</v>
      </c>
      <c r="C1177" s="4">
        <v>2027</v>
      </c>
      <c r="D1177" s="4">
        <v>52111</v>
      </c>
      <c r="E1177" s="8">
        <v>0</v>
      </c>
      <c r="F1177" s="8">
        <v>13535</v>
      </c>
      <c r="G1177" s="8">
        <f t="shared" si="35"/>
        <v>-13535</v>
      </c>
    </row>
    <row r="1178" spans="1:7" x14ac:dyDescent="0.25">
      <c r="A1178" s="4">
        <v>267</v>
      </c>
      <c r="B1178" s="4" t="s">
        <v>104</v>
      </c>
      <c r="C1178" s="4">
        <v>2027</v>
      </c>
      <c r="D1178" s="4">
        <v>52201</v>
      </c>
      <c r="E1178" s="8">
        <v>0</v>
      </c>
      <c r="F1178" s="8">
        <v>25910</v>
      </c>
      <c r="G1178" s="8">
        <f t="shared" si="35"/>
        <v>-25910</v>
      </c>
    </row>
    <row r="1179" spans="1:7" x14ac:dyDescent="0.25">
      <c r="A1179" s="4">
        <v>267</v>
      </c>
      <c r="B1179" s="4" t="s">
        <v>104</v>
      </c>
      <c r="C1179" s="4">
        <v>2028</v>
      </c>
      <c r="D1179" s="4">
        <v>51101</v>
      </c>
      <c r="E1179" s="8">
        <v>0</v>
      </c>
      <c r="F1179" s="8">
        <v>422030</v>
      </c>
      <c r="G1179" s="8">
        <f t="shared" si="35"/>
        <v>-422030</v>
      </c>
    </row>
    <row r="1180" spans="1:7" x14ac:dyDescent="0.25">
      <c r="A1180" s="4">
        <v>267</v>
      </c>
      <c r="B1180" s="4" t="s">
        <v>104</v>
      </c>
      <c r="C1180" s="4">
        <v>2028</v>
      </c>
      <c r="D1180" s="4">
        <v>52101</v>
      </c>
      <c r="E1180" s="8">
        <v>0</v>
      </c>
      <c r="F1180" s="8">
        <v>50700</v>
      </c>
      <c r="G1180" s="8">
        <f t="shared" si="35"/>
        <v>-50700</v>
      </c>
    </row>
    <row r="1181" spans="1:7" x14ac:dyDescent="0.25">
      <c r="A1181" s="4">
        <v>267</v>
      </c>
      <c r="B1181" s="4" t="s">
        <v>104</v>
      </c>
      <c r="C1181" s="4">
        <v>2028</v>
      </c>
      <c r="D1181" s="4">
        <v>52111</v>
      </c>
      <c r="E1181" s="8">
        <v>0</v>
      </c>
      <c r="F1181" s="8">
        <v>13665</v>
      </c>
      <c r="G1181" s="8">
        <f t="shared" si="35"/>
        <v>-13665</v>
      </c>
    </row>
    <row r="1182" spans="1:7" x14ac:dyDescent="0.25">
      <c r="A1182" s="4">
        <v>267</v>
      </c>
      <c r="B1182" s="4" t="s">
        <v>104</v>
      </c>
      <c r="C1182" s="4">
        <v>2028</v>
      </c>
      <c r="D1182" s="4">
        <v>52201</v>
      </c>
      <c r="E1182" s="8">
        <v>0</v>
      </c>
      <c r="F1182" s="8">
        <v>26165</v>
      </c>
      <c r="G1182" s="8">
        <f t="shared" si="35"/>
        <v>-26165</v>
      </c>
    </row>
    <row r="1183" spans="1:7" x14ac:dyDescent="0.25">
      <c r="A1183" s="4">
        <v>267</v>
      </c>
      <c r="B1183" s="4" t="s">
        <v>104</v>
      </c>
      <c r="C1183" s="4">
        <v>2029</v>
      </c>
      <c r="D1183" s="4">
        <v>51101</v>
      </c>
      <c r="E1183" s="8">
        <v>0</v>
      </c>
      <c r="F1183" s="8">
        <v>426295</v>
      </c>
      <c r="G1183" s="8">
        <f t="shared" si="35"/>
        <v>-426295</v>
      </c>
    </row>
    <row r="1184" spans="1:7" x14ac:dyDescent="0.25">
      <c r="A1184" s="4">
        <v>267</v>
      </c>
      <c r="B1184" s="4" t="s">
        <v>104</v>
      </c>
      <c r="C1184" s="4">
        <v>2029</v>
      </c>
      <c r="D1184" s="4">
        <v>52101</v>
      </c>
      <c r="E1184" s="8">
        <v>0</v>
      </c>
      <c r="F1184" s="8">
        <v>52270</v>
      </c>
      <c r="G1184" s="8">
        <f t="shared" si="35"/>
        <v>-52270</v>
      </c>
    </row>
    <row r="1185" spans="1:7" x14ac:dyDescent="0.25">
      <c r="A1185" s="4">
        <v>267</v>
      </c>
      <c r="B1185" s="4" t="s">
        <v>104</v>
      </c>
      <c r="C1185" s="4">
        <v>2029</v>
      </c>
      <c r="D1185" s="4">
        <v>52111</v>
      </c>
      <c r="E1185" s="8">
        <v>0</v>
      </c>
      <c r="F1185" s="8">
        <v>13800</v>
      </c>
      <c r="G1185" s="8">
        <f t="shared" si="35"/>
        <v>-13800</v>
      </c>
    </row>
    <row r="1186" spans="1:7" x14ac:dyDescent="0.25">
      <c r="A1186" s="4">
        <v>267</v>
      </c>
      <c r="B1186" s="4" t="s">
        <v>104</v>
      </c>
      <c r="C1186" s="4">
        <v>2029</v>
      </c>
      <c r="D1186" s="4">
        <v>52201</v>
      </c>
      <c r="E1186" s="8">
        <v>0</v>
      </c>
      <c r="F1186" s="8">
        <v>26430</v>
      </c>
      <c r="G1186" s="8">
        <f t="shared" si="35"/>
        <v>-26430</v>
      </c>
    </row>
    <row r="1187" spans="1:7" x14ac:dyDescent="0.25">
      <c r="A1187" s="4">
        <v>267</v>
      </c>
      <c r="B1187" s="4" t="s">
        <v>104</v>
      </c>
      <c r="C1187" s="4">
        <v>2030</v>
      </c>
      <c r="D1187" s="4">
        <v>51101</v>
      </c>
      <c r="E1187" s="8">
        <v>0</v>
      </c>
      <c r="F1187" s="8">
        <v>430560</v>
      </c>
      <c r="G1187" s="8">
        <f t="shared" si="35"/>
        <v>-430560</v>
      </c>
    </row>
    <row r="1188" spans="1:7" x14ac:dyDescent="0.25">
      <c r="A1188" s="4">
        <v>267</v>
      </c>
      <c r="B1188" s="4" t="s">
        <v>104</v>
      </c>
      <c r="C1188" s="4">
        <v>2030</v>
      </c>
      <c r="D1188" s="4">
        <v>52101</v>
      </c>
      <c r="E1188" s="8">
        <v>0</v>
      </c>
      <c r="F1188" s="8">
        <v>53890</v>
      </c>
      <c r="G1188" s="8">
        <f t="shared" si="35"/>
        <v>-53890</v>
      </c>
    </row>
    <row r="1189" spans="1:7" x14ac:dyDescent="0.25">
      <c r="A1189" s="4">
        <v>267</v>
      </c>
      <c r="B1189" s="4" t="s">
        <v>104</v>
      </c>
      <c r="C1189" s="4">
        <v>2030</v>
      </c>
      <c r="D1189" s="4">
        <v>52111</v>
      </c>
      <c r="E1189" s="8">
        <v>0</v>
      </c>
      <c r="F1189" s="8">
        <v>13930</v>
      </c>
      <c r="G1189" s="8">
        <f t="shared" si="35"/>
        <v>-13930</v>
      </c>
    </row>
    <row r="1190" spans="1:7" x14ac:dyDescent="0.25">
      <c r="A1190" s="4">
        <v>267</v>
      </c>
      <c r="B1190" s="4" t="s">
        <v>104</v>
      </c>
      <c r="C1190" s="4">
        <v>2030</v>
      </c>
      <c r="D1190" s="4">
        <v>52201</v>
      </c>
      <c r="E1190" s="8">
        <v>0</v>
      </c>
      <c r="F1190" s="8">
        <v>26695</v>
      </c>
      <c r="G1190" s="8">
        <f t="shared" si="35"/>
        <v>-26695</v>
      </c>
    </row>
    <row r="1191" spans="1:7" x14ac:dyDescent="0.25">
      <c r="E1191" s="56" t="s">
        <v>105</v>
      </c>
      <c r="F1191" s="56"/>
      <c r="G1191" s="9">
        <f>SUM(G1171:G1190)</f>
        <v>-2563385</v>
      </c>
    </row>
    <row r="1193" spans="1:7" x14ac:dyDescent="0.25">
      <c r="A1193" s="1" t="s">
        <v>126</v>
      </c>
    </row>
    <row r="1194" spans="1:7" x14ac:dyDescent="0.25">
      <c r="A1194" s="2" t="s">
        <v>2</v>
      </c>
      <c r="B1194" s="2"/>
      <c r="C1194" s="2" t="s">
        <v>3</v>
      </c>
      <c r="D1194" s="2"/>
      <c r="E1194" s="48"/>
      <c r="F1194" s="48"/>
      <c r="G1194" s="48"/>
    </row>
    <row r="1195" spans="1:7" x14ac:dyDescent="0.25">
      <c r="A1195" s="2" t="s">
        <v>4</v>
      </c>
      <c r="B1195" s="2"/>
      <c r="C1195" s="2" t="s">
        <v>5</v>
      </c>
      <c r="D1195" s="2" t="s">
        <v>6</v>
      </c>
      <c r="E1195" s="2" t="s">
        <v>7</v>
      </c>
      <c r="F1195" s="2" t="s">
        <v>8</v>
      </c>
      <c r="G1195" s="2" t="s">
        <v>9</v>
      </c>
    </row>
    <row r="1196" spans="1:7" x14ac:dyDescent="0.25">
      <c r="A1196" s="4">
        <v>267</v>
      </c>
      <c r="B1196" s="4" t="s">
        <v>104</v>
      </c>
      <c r="C1196" s="4">
        <v>2026</v>
      </c>
      <c r="D1196" s="4">
        <v>51101</v>
      </c>
      <c r="E1196" s="8">
        <v>0</v>
      </c>
      <c r="F1196" s="16">
        <v>114046</v>
      </c>
      <c r="G1196" s="8">
        <f>E1196-F1196</f>
        <v>-114046</v>
      </c>
    </row>
    <row r="1197" spans="1:7" x14ac:dyDescent="0.25">
      <c r="A1197" s="4">
        <v>267</v>
      </c>
      <c r="B1197" s="4" t="s">
        <v>104</v>
      </c>
      <c r="C1197" s="4">
        <v>2026</v>
      </c>
      <c r="D1197" s="4">
        <v>52101</v>
      </c>
      <c r="E1197" s="8">
        <v>0</v>
      </c>
      <c r="F1197" s="16">
        <v>9679</v>
      </c>
      <c r="G1197" s="8">
        <f>E1197-F1197</f>
        <v>-9679</v>
      </c>
    </row>
    <row r="1198" spans="1:7" x14ac:dyDescent="0.25">
      <c r="A1198" s="4">
        <v>267</v>
      </c>
      <c r="B1198" s="4" t="s">
        <v>104</v>
      </c>
      <c r="C1198" s="4">
        <v>2026</v>
      </c>
      <c r="D1198" s="4">
        <v>52111</v>
      </c>
      <c r="E1198" s="8">
        <v>0</v>
      </c>
      <c r="F1198" s="16">
        <v>1850</v>
      </c>
      <c r="G1198" s="8">
        <f>E1198-F1198</f>
        <v>-1850</v>
      </c>
    </row>
    <row r="1199" spans="1:7" x14ac:dyDescent="0.25">
      <c r="A1199" s="4">
        <v>267</v>
      </c>
      <c r="B1199" s="4" t="s">
        <v>104</v>
      </c>
      <c r="C1199" s="4">
        <v>2026</v>
      </c>
      <c r="D1199" s="4">
        <v>52201</v>
      </c>
      <c r="E1199" s="8">
        <v>0</v>
      </c>
      <c r="F1199" s="16">
        <v>8725</v>
      </c>
      <c r="G1199" s="8">
        <f t="shared" ref="G1199:G1215" si="36">E1199-F1199</f>
        <v>-8725</v>
      </c>
    </row>
    <row r="1200" spans="1:7" x14ac:dyDescent="0.25">
      <c r="A1200" s="4">
        <v>267</v>
      </c>
      <c r="B1200" s="4" t="s">
        <v>104</v>
      </c>
      <c r="C1200" s="4">
        <v>2027</v>
      </c>
      <c r="D1200" s="4">
        <v>51101</v>
      </c>
      <c r="E1200" s="8">
        <v>0</v>
      </c>
      <c r="F1200" s="16">
        <v>115190</v>
      </c>
      <c r="G1200" s="8">
        <f t="shared" si="36"/>
        <v>-115190</v>
      </c>
    </row>
    <row r="1201" spans="1:7" x14ac:dyDescent="0.25">
      <c r="A1201" s="4">
        <v>267</v>
      </c>
      <c r="B1201" s="4" t="s">
        <v>104</v>
      </c>
      <c r="C1201" s="4">
        <v>2027</v>
      </c>
      <c r="D1201" s="4">
        <v>52101</v>
      </c>
      <c r="E1201" s="8">
        <v>0</v>
      </c>
      <c r="F1201" s="16">
        <v>9975</v>
      </c>
      <c r="G1201" s="8">
        <f t="shared" si="36"/>
        <v>-9975</v>
      </c>
    </row>
    <row r="1202" spans="1:7" x14ac:dyDescent="0.25">
      <c r="A1202" s="4">
        <v>267</v>
      </c>
      <c r="B1202" s="4" t="s">
        <v>104</v>
      </c>
      <c r="C1202" s="4">
        <v>2027</v>
      </c>
      <c r="D1202" s="4">
        <v>52111</v>
      </c>
      <c r="E1202" s="8">
        <v>0</v>
      </c>
      <c r="F1202" s="16">
        <v>1869</v>
      </c>
      <c r="G1202" s="8">
        <f t="shared" si="36"/>
        <v>-1869</v>
      </c>
    </row>
    <row r="1203" spans="1:7" x14ac:dyDescent="0.25">
      <c r="A1203" s="4">
        <v>267</v>
      </c>
      <c r="B1203" s="4" t="s">
        <v>104</v>
      </c>
      <c r="C1203" s="4">
        <v>2027</v>
      </c>
      <c r="D1203" s="4">
        <v>52201</v>
      </c>
      <c r="E1203" s="8">
        <v>0</v>
      </c>
      <c r="F1203" s="16">
        <v>8812</v>
      </c>
      <c r="G1203" s="8">
        <f t="shared" si="36"/>
        <v>-8812</v>
      </c>
    </row>
    <row r="1204" spans="1:7" x14ac:dyDescent="0.25">
      <c r="A1204" s="4">
        <v>267</v>
      </c>
      <c r="B1204" s="4" t="s">
        <v>104</v>
      </c>
      <c r="C1204" s="4">
        <v>2028</v>
      </c>
      <c r="D1204" s="4">
        <v>51101</v>
      </c>
      <c r="E1204" s="8">
        <v>0</v>
      </c>
      <c r="F1204" s="16">
        <v>116334</v>
      </c>
      <c r="G1204" s="8">
        <f t="shared" si="36"/>
        <v>-116334</v>
      </c>
    </row>
    <row r="1205" spans="1:7" x14ac:dyDescent="0.25">
      <c r="A1205" s="4">
        <v>267</v>
      </c>
      <c r="B1205" s="4" t="s">
        <v>104</v>
      </c>
      <c r="C1205" s="4">
        <v>2028</v>
      </c>
      <c r="D1205" s="4">
        <v>52101</v>
      </c>
      <c r="E1205" s="8">
        <v>0</v>
      </c>
      <c r="F1205" s="16">
        <v>10280</v>
      </c>
      <c r="G1205" s="8">
        <f t="shared" si="36"/>
        <v>-10280</v>
      </c>
    </row>
    <row r="1206" spans="1:7" x14ac:dyDescent="0.25">
      <c r="A1206" s="4">
        <v>267</v>
      </c>
      <c r="B1206" s="4" t="s">
        <v>104</v>
      </c>
      <c r="C1206" s="4">
        <v>2028</v>
      </c>
      <c r="D1206" s="4">
        <v>52111</v>
      </c>
      <c r="E1206" s="8">
        <v>0</v>
      </c>
      <c r="F1206" s="16">
        <v>1887</v>
      </c>
      <c r="G1206" s="8">
        <f t="shared" si="36"/>
        <v>-1887</v>
      </c>
    </row>
    <row r="1207" spans="1:7" x14ac:dyDescent="0.25">
      <c r="A1207" s="4">
        <v>267</v>
      </c>
      <c r="B1207" s="4" t="s">
        <v>104</v>
      </c>
      <c r="C1207" s="4">
        <v>2028</v>
      </c>
      <c r="D1207" s="4">
        <v>52201</v>
      </c>
      <c r="E1207" s="8">
        <v>0</v>
      </c>
      <c r="F1207" s="16">
        <v>8900</v>
      </c>
      <c r="G1207" s="8">
        <f t="shared" si="36"/>
        <v>-8900</v>
      </c>
    </row>
    <row r="1208" spans="1:7" x14ac:dyDescent="0.25">
      <c r="A1208" s="4">
        <v>267</v>
      </c>
      <c r="B1208" s="4" t="s">
        <v>104</v>
      </c>
      <c r="C1208" s="4">
        <v>2029</v>
      </c>
      <c r="D1208" s="4">
        <v>51101</v>
      </c>
      <c r="E1208" s="8">
        <v>0</v>
      </c>
      <c r="F1208" s="16">
        <v>117499</v>
      </c>
      <c r="G1208" s="8">
        <f t="shared" si="36"/>
        <v>-117499</v>
      </c>
    </row>
    <row r="1209" spans="1:7" x14ac:dyDescent="0.25">
      <c r="A1209" s="4">
        <v>267</v>
      </c>
      <c r="B1209" s="4" t="s">
        <v>104</v>
      </c>
      <c r="C1209" s="4">
        <v>2029</v>
      </c>
      <c r="D1209" s="4">
        <v>52101</v>
      </c>
      <c r="E1209" s="8">
        <v>0</v>
      </c>
      <c r="F1209" s="16">
        <v>10594</v>
      </c>
      <c r="G1209" s="8">
        <f t="shared" si="36"/>
        <v>-10594</v>
      </c>
    </row>
    <row r="1210" spans="1:7" x14ac:dyDescent="0.25">
      <c r="A1210" s="4">
        <v>267</v>
      </c>
      <c r="B1210" s="4" t="s">
        <v>104</v>
      </c>
      <c r="C1210" s="4">
        <v>2029</v>
      </c>
      <c r="D1210" s="4">
        <v>52111</v>
      </c>
      <c r="E1210" s="8">
        <v>0</v>
      </c>
      <c r="F1210" s="16">
        <v>1906</v>
      </c>
      <c r="G1210" s="8">
        <f t="shared" si="36"/>
        <v>-1906</v>
      </c>
    </row>
    <row r="1211" spans="1:7" x14ac:dyDescent="0.25">
      <c r="A1211" s="4">
        <v>267</v>
      </c>
      <c r="B1211" s="4" t="s">
        <v>104</v>
      </c>
      <c r="C1211" s="4">
        <v>2029</v>
      </c>
      <c r="D1211" s="4">
        <v>52201</v>
      </c>
      <c r="E1211" s="8">
        <v>0</v>
      </c>
      <c r="F1211" s="16">
        <v>8989</v>
      </c>
      <c r="G1211" s="8">
        <f t="shared" si="36"/>
        <v>-8989</v>
      </c>
    </row>
    <row r="1212" spans="1:7" x14ac:dyDescent="0.25">
      <c r="A1212" s="4">
        <v>267</v>
      </c>
      <c r="B1212" s="4" t="s">
        <v>104</v>
      </c>
      <c r="C1212" s="4">
        <v>2030</v>
      </c>
      <c r="D1212" s="4">
        <v>51101</v>
      </c>
      <c r="E1212" s="8">
        <v>0</v>
      </c>
      <c r="F1212" s="16">
        <v>118685</v>
      </c>
      <c r="G1212" s="8">
        <f t="shared" si="36"/>
        <v>-118685</v>
      </c>
    </row>
    <row r="1213" spans="1:7" x14ac:dyDescent="0.25">
      <c r="A1213" s="4">
        <v>267</v>
      </c>
      <c r="B1213" s="4" t="s">
        <v>104</v>
      </c>
      <c r="C1213" s="4">
        <v>2030</v>
      </c>
      <c r="D1213" s="4">
        <v>52101</v>
      </c>
      <c r="E1213" s="8">
        <v>0</v>
      </c>
      <c r="F1213" s="16">
        <v>10918</v>
      </c>
      <c r="G1213" s="8">
        <f t="shared" si="36"/>
        <v>-10918</v>
      </c>
    </row>
    <row r="1214" spans="1:7" x14ac:dyDescent="0.25">
      <c r="A1214" s="4">
        <v>267</v>
      </c>
      <c r="B1214" s="4" t="s">
        <v>104</v>
      </c>
      <c r="C1214" s="4">
        <v>2030</v>
      </c>
      <c r="D1214" s="4">
        <v>52111</v>
      </c>
      <c r="E1214" s="8">
        <v>0</v>
      </c>
      <c r="F1214" s="16">
        <v>1925</v>
      </c>
      <c r="G1214" s="8">
        <f t="shared" si="36"/>
        <v>-1925</v>
      </c>
    </row>
    <row r="1215" spans="1:7" x14ac:dyDescent="0.25">
      <c r="A1215" s="4">
        <v>267</v>
      </c>
      <c r="B1215" s="4" t="s">
        <v>104</v>
      </c>
      <c r="C1215" s="4">
        <v>2030</v>
      </c>
      <c r="D1215" s="4">
        <v>52201</v>
      </c>
      <c r="E1215" s="8">
        <v>0</v>
      </c>
      <c r="F1215" s="16">
        <v>9079</v>
      </c>
      <c r="G1215" s="8">
        <f t="shared" si="36"/>
        <v>-9079</v>
      </c>
    </row>
    <row r="1216" spans="1:7" x14ac:dyDescent="0.25">
      <c r="E1216" s="49" t="s">
        <v>13</v>
      </c>
      <c r="F1216" s="49"/>
      <c r="G1216" s="9">
        <f>SUM(G1196:G1215)</f>
        <v>-687142</v>
      </c>
    </row>
    <row r="1218" spans="1:7" x14ac:dyDescent="0.25">
      <c r="A1218" s="1" t="s">
        <v>127</v>
      </c>
    </row>
    <row r="1219" spans="1:7" x14ac:dyDescent="0.25">
      <c r="A1219" s="2" t="s">
        <v>2</v>
      </c>
      <c r="B1219" s="2"/>
      <c r="C1219" s="2" t="s">
        <v>3</v>
      </c>
      <c r="D1219" s="2"/>
      <c r="E1219" s="48"/>
      <c r="F1219" s="48"/>
      <c r="G1219" s="48"/>
    </row>
    <row r="1220" spans="1:7" x14ac:dyDescent="0.25">
      <c r="A1220" s="2" t="s">
        <v>4</v>
      </c>
      <c r="B1220" s="2"/>
      <c r="C1220" s="2" t="s">
        <v>5</v>
      </c>
      <c r="D1220" s="2" t="s">
        <v>6</v>
      </c>
      <c r="E1220" s="2" t="s">
        <v>7</v>
      </c>
      <c r="F1220" s="2" t="s">
        <v>8</v>
      </c>
      <c r="G1220" s="2" t="s">
        <v>9</v>
      </c>
    </row>
    <row r="1221" spans="1:7" x14ac:dyDescent="0.25">
      <c r="A1221" s="4">
        <v>267</v>
      </c>
      <c r="B1221" s="4" t="s">
        <v>104</v>
      </c>
      <c r="C1221" s="4">
        <v>2026</v>
      </c>
      <c r="D1221" s="4">
        <v>51101</v>
      </c>
      <c r="E1221" s="16">
        <v>76294</v>
      </c>
      <c r="F1221" s="16">
        <v>82742</v>
      </c>
      <c r="G1221" s="8">
        <f>E1221-F1221</f>
        <v>-6448</v>
      </c>
    </row>
    <row r="1222" spans="1:7" x14ac:dyDescent="0.25">
      <c r="A1222" s="4">
        <v>267</v>
      </c>
      <c r="B1222" s="4" t="s">
        <v>104</v>
      </c>
      <c r="C1222" s="4">
        <v>2026</v>
      </c>
      <c r="D1222" s="4">
        <v>52111</v>
      </c>
      <c r="E1222" s="16">
        <v>1237</v>
      </c>
      <c r="F1222" s="16">
        <v>1342</v>
      </c>
      <c r="G1222" s="8">
        <f>E1222-F1222</f>
        <v>-105</v>
      </c>
    </row>
    <row r="1223" spans="1:7" x14ac:dyDescent="0.25">
      <c r="A1223" s="4">
        <v>267</v>
      </c>
      <c r="B1223" s="4" t="s">
        <v>104</v>
      </c>
      <c r="C1223" s="4">
        <v>2026</v>
      </c>
      <c r="D1223" s="4">
        <v>52201</v>
      </c>
      <c r="E1223" s="16">
        <v>5836</v>
      </c>
      <c r="F1223" s="16">
        <v>6330</v>
      </c>
      <c r="G1223" s="8">
        <f t="shared" ref="G1223:G1235" si="37">E1223-F1223</f>
        <v>-494</v>
      </c>
    </row>
    <row r="1224" spans="1:7" x14ac:dyDescent="0.25">
      <c r="A1224" s="4">
        <v>267</v>
      </c>
      <c r="B1224" s="4" t="s">
        <v>104</v>
      </c>
      <c r="C1224" s="4">
        <v>2027</v>
      </c>
      <c r="D1224" s="4">
        <v>51101</v>
      </c>
      <c r="E1224" s="16">
        <v>77064</v>
      </c>
      <c r="F1224" s="16">
        <v>83574</v>
      </c>
      <c r="G1224" s="8">
        <f t="shared" si="37"/>
        <v>-6510</v>
      </c>
    </row>
    <row r="1225" spans="1:7" x14ac:dyDescent="0.25">
      <c r="A1225" s="4">
        <v>267</v>
      </c>
      <c r="B1225" s="4" t="s">
        <v>104</v>
      </c>
      <c r="C1225" s="4">
        <v>2027</v>
      </c>
      <c r="D1225" s="4">
        <v>52111</v>
      </c>
      <c r="E1225" s="16">
        <v>1250</v>
      </c>
      <c r="F1225" s="16">
        <v>1355</v>
      </c>
      <c r="G1225" s="8">
        <f t="shared" si="37"/>
        <v>-105</v>
      </c>
    </row>
    <row r="1226" spans="1:7" x14ac:dyDescent="0.25">
      <c r="A1226" s="4">
        <v>267</v>
      </c>
      <c r="B1226" s="4" t="s">
        <v>104</v>
      </c>
      <c r="C1226" s="4">
        <v>2027</v>
      </c>
      <c r="D1226" s="4">
        <v>52201</v>
      </c>
      <c r="E1226" s="16">
        <v>5895</v>
      </c>
      <c r="F1226" s="16">
        <v>6394</v>
      </c>
      <c r="G1226" s="8">
        <f t="shared" si="37"/>
        <v>-499</v>
      </c>
    </row>
    <row r="1227" spans="1:7" x14ac:dyDescent="0.25">
      <c r="A1227" s="4">
        <v>267</v>
      </c>
      <c r="B1227" s="4" t="s">
        <v>104</v>
      </c>
      <c r="C1227" s="4">
        <v>2028</v>
      </c>
      <c r="D1227" s="4">
        <v>51101</v>
      </c>
      <c r="E1227" s="16">
        <v>77834</v>
      </c>
      <c r="F1227" s="16">
        <v>84406</v>
      </c>
      <c r="G1227" s="8">
        <f t="shared" si="37"/>
        <v>-6572</v>
      </c>
    </row>
    <row r="1228" spans="1:7" x14ac:dyDescent="0.25">
      <c r="A1228" s="4">
        <v>267</v>
      </c>
      <c r="B1228" s="4" t="s">
        <v>104</v>
      </c>
      <c r="C1228" s="4">
        <v>2028</v>
      </c>
      <c r="D1228" s="4">
        <v>52111</v>
      </c>
      <c r="E1228" s="16">
        <v>1263</v>
      </c>
      <c r="F1228" s="16">
        <v>1369</v>
      </c>
      <c r="G1228" s="8">
        <f t="shared" si="37"/>
        <v>-106</v>
      </c>
    </row>
    <row r="1229" spans="1:7" x14ac:dyDescent="0.25">
      <c r="A1229" s="4">
        <v>267</v>
      </c>
      <c r="B1229" s="4" t="s">
        <v>104</v>
      </c>
      <c r="C1229" s="4">
        <v>2028</v>
      </c>
      <c r="D1229" s="4">
        <v>52201</v>
      </c>
      <c r="E1229" s="16">
        <v>5955</v>
      </c>
      <c r="F1229" s="16">
        <v>6457</v>
      </c>
      <c r="G1229" s="8">
        <f t="shared" si="37"/>
        <v>-502</v>
      </c>
    </row>
    <row r="1230" spans="1:7" x14ac:dyDescent="0.25">
      <c r="A1230" s="4">
        <v>267</v>
      </c>
      <c r="B1230" s="4" t="s">
        <v>104</v>
      </c>
      <c r="C1230" s="4">
        <v>2029</v>
      </c>
      <c r="D1230" s="4">
        <v>51101</v>
      </c>
      <c r="E1230" s="16">
        <v>78603</v>
      </c>
      <c r="F1230" s="16">
        <v>85259</v>
      </c>
      <c r="G1230" s="8">
        <f t="shared" si="37"/>
        <v>-6656</v>
      </c>
    </row>
    <row r="1231" spans="1:7" x14ac:dyDescent="0.25">
      <c r="A1231" s="4">
        <v>267</v>
      </c>
      <c r="B1231" s="4" t="s">
        <v>104</v>
      </c>
      <c r="C1231" s="4">
        <v>2029</v>
      </c>
      <c r="D1231" s="4">
        <v>52111</v>
      </c>
      <c r="E1231" s="16">
        <v>1275</v>
      </c>
      <c r="F1231" s="16">
        <v>1384</v>
      </c>
      <c r="G1231" s="8">
        <f t="shared" si="37"/>
        <v>-109</v>
      </c>
    </row>
    <row r="1232" spans="1:7" x14ac:dyDescent="0.25">
      <c r="A1232" s="4">
        <v>267</v>
      </c>
      <c r="B1232" s="4" t="s">
        <v>104</v>
      </c>
      <c r="C1232" s="4">
        <v>2029</v>
      </c>
      <c r="D1232" s="4">
        <v>52201</v>
      </c>
      <c r="E1232" s="16">
        <v>6013</v>
      </c>
      <c r="F1232" s="16">
        <v>6522</v>
      </c>
      <c r="G1232" s="8">
        <f t="shared" si="37"/>
        <v>-509</v>
      </c>
    </row>
    <row r="1233" spans="1:7" x14ac:dyDescent="0.25">
      <c r="A1233" s="4">
        <v>267</v>
      </c>
      <c r="B1233" s="4" t="s">
        <v>104</v>
      </c>
      <c r="C1233" s="4">
        <v>2030</v>
      </c>
      <c r="D1233" s="4">
        <v>51101</v>
      </c>
      <c r="E1233" s="16">
        <v>79394</v>
      </c>
      <c r="F1233" s="16">
        <v>86112</v>
      </c>
      <c r="G1233" s="8">
        <f t="shared" si="37"/>
        <v>-6718</v>
      </c>
    </row>
    <row r="1234" spans="1:7" x14ac:dyDescent="0.25">
      <c r="A1234" s="4">
        <v>267</v>
      </c>
      <c r="B1234" s="4" t="s">
        <v>104</v>
      </c>
      <c r="C1234" s="4">
        <v>2030</v>
      </c>
      <c r="D1234" s="4">
        <v>52111</v>
      </c>
      <c r="E1234" s="16">
        <v>1288</v>
      </c>
      <c r="F1234" s="16">
        <v>1397</v>
      </c>
      <c r="G1234" s="8">
        <f t="shared" si="37"/>
        <v>-109</v>
      </c>
    </row>
    <row r="1235" spans="1:7" x14ac:dyDescent="0.25">
      <c r="A1235" s="4">
        <v>267</v>
      </c>
      <c r="B1235" s="4" t="s">
        <v>104</v>
      </c>
      <c r="C1235" s="4">
        <v>2030</v>
      </c>
      <c r="D1235" s="4">
        <v>52201</v>
      </c>
      <c r="E1235" s="16">
        <v>6073</v>
      </c>
      <c r="F1235" s="16">
        <v>6588</v>
      </c>
      <c r="G1235" s="8">
        <f t="shared" si="37"/>
        <v>-515</v>
      </c>
    </row>
    <row r="1236" spans="1:7" x14ac:dyDescent="0.25">
      <c r="E1236" s="49" t="s">
        <v>13</v>
      </c>
      <c r="F1236" s="49"/>
      <c r="G1236" s="9">
        <f>SUM(G1221:G1235)</f>
        <v>-35957</v>
      </c>
    </row>
    <row r="1238" spans="1:7" x14ac:dyDescent="0.25">
      <c r="A1238" s="1" t="s">
        <v>128</v>
      </c>
    </row>
    <row r="1239" spans="1:7" x14ac:dyDescent="0.25">
      <c r="A1239" s="24" t="s">
        <v>2</v>
      </c>
      <c r="B1239" s="24"/>
      <c r="C1239" s="24" t="s">
        <v>3</v>
      </c>
      <c r="D1239" s="24"/>
      <c r="E1239" s="57"/>
      <c r="F1239" s="58"/>
      <c r="G1239" s="59"/>
    </row>
    <row r="1240" spans="1:7" x14ac:dyDescent="0.25">
      <c r="A1240" s="24" t="s">
        <v>4</v>
      </c>
      <c r="B1240" s="24"/>
      <c r="C1240" s="24" t="s">
        <v>5</v>
      </c>
      <c r="D1240" s="24" t="s">
        <v>6</v>
      </c>
      <c r="E1240" s="24" t="s">
        <v>7</v>
      </c>
      <c r="F1240" s="24" t="s">
        <v>8</v>
      </c>
      <c r="G1240" s="24" t="s">
        <v>9</v>
      </c>
    </row>
    <row r="1241" spans="1:7" x14ac:dyDescent="0.25">
      <c r="A1241" s="19">
        <v>267</v>
      </c>
      <c r="B1241" s="19" t="s">
        <v>104</v>
      </c>
      <c r="C1241" s="19">
        <v>2026</v>
      </c>
      <c r="D1241" s="19">
        <v>51101</v>
      </c>
      <c r="E1241" s="25">
        <v>76294</v>
      </c>
      <c r="F1241" s="19" t="s">
        <v>129</v>
      </c>
      <c r="G1241" s="25">
        <v>76294</v>
      </c>
    </row>
    <row r="1242" spans="1:7" x14ac:dyDescent="0.25">
      <c r="A1242" s="19">
        <v>267</v>
      </c>
      <c r="B1242" s="19" t="s">
        <v>104</v>
      </c>
      <c r="C1242" s="19">
        <v>2026</v>
      </c>
      <c r="D1242" s="19">
        <v>52101</v>
      </c>
      <c r="E1242" s="25">
        <v>9679</v>
      </c>
      <c r="F1242" s="19" t="s">
        <v>129</v>
      </c>
      <c r="G1242" s="25">
        <v>9679</v>
      </c>
    </row>
    <row r="1243" spans="1:7" x14ac:dyDescent="0.25">
      <c r="A1243" s="19">
        <v>267</v>
      </c>
      <c r="B1243" s="19" t="s">
        <v>104</v>
      </c>
      <c r="C1243" s="19">
        <v>2026</v>
      </c>
      <c r="D1243" s="19">
        <v>52111</v>
      </c>
      <c r="E1243" s="25">
        <v>1237</v>
      </c>
      <c r="F1243" s="19" t="s">
        <v>129</v>
      </c>
      <c r="G1243" s="25">
        <v>1237</v>
      </c>
    </row>
    <row r="1244" spans="1:7" x14ac:dyDescent="0.25">
      <c r="A1244" s="19">
        <v>267</v>
      </c>
      <c r="B1244" s="19" t="s">
        <v>104</v>
      </c>
      <c r="C1244" s="19">
        <v>2026</v>
      </c>
      <c r="D1244" s="19">
        <v>52201</v>
      </c>
      <c r="E1244" s="25">
        <v>5836</v>
      </c>
      <c r="F1244" s="19" t="s">
        <v>129</v>
      </c>
      <c r="G1244" s="25">
        <v>5836</v>
      </c>
    </row>
    <row r="1245" spans="1:7" x14ac:dyDescent="0.25">
      <c r="A1245" s="19">
        <v>267</v>
      </c>
      <c r="B1245" s="19" t="s">
        <v>104</v>
      </c>
      <c r="C1245" s="19">
        <v>2027</v>
      </c>
      <c r="D1245" s="19">
        <v>51101</v>
      </c>
      <c r="E1245" s="25">
        <v>77064</v>
      </c>
      <c r="F1245" s="19" t="s">
        <v>129</v>
      </c>
      <c r="G1245" s="25">
        <v>77064</v>
      </c>
    </row>
    <row r="1246" spans="1:7" x14ac:dyDescent="0.25">
      <c r="A1246" s="19">
        <v>267</v>
      </c>
      <c r="B1246" s="19" t="s">
        <v>104</v>
      </c>
      <c r="C1246" s="19">
        <v>2027</v>
      </c>
      <c r="D1246" s="19">
        <v>52101</v>
      </c>
      <c r="E1246" s="25">
        <v>9975</v>
      </c>
      <c r="F1246" s="19" t="s">
        <v>129</v>
      </c>
      <c r="G1246" s="25">
        <v>9975</v>
      </c>
    </row>
    <row r="1247" spans="1:7" x14ac:dyDescent="0.25">
      <c r="A1247" s="19">
        <v>267</v>
      </c>
      <c r="B1247" s="19" t="s">
        <v>104</v>
      </c>
      <c r="C1247" s="19">
        <v>2027</v>
      </c>
      <c r="D1247" s="19">
        <v>52111</v>
      </c>
      <c r="E1247" s="25">
        <v>1250</v>
      </c>
      <c r="F1247" s="19" t="s">
        <v>129</v>
      </c>
      <c r="G1247" s="25">
        <v>1250</v>
      </c>
    </row>
    <row r="1248" spans="1:7" x14ac:dyDescent="0.25">
      <c r="A1248" s="19">
        <v>267</v>
      </c>
      <c r="B1248" s="19" t="s">
        <v>104</v>
      </c>
      <c r="C1248" s="19">
        <v>2027</v>
      </c>
      <c r="D1248" s="19">
        <v>52201</v>
      </c>
      <c r="E1248" s="25">
        <v>5895</v>
      </c>
      <c r="F1248" s="19" t="s">
        <v>129</v>
      </c>
      <c r="G1248" s="25">
        <v>5895</v>
      </c>
    </row>
    <row r="1249" spans="1:7" x14ac:dyDescent="0.25">
      <c r="A1249" s="19">
        <v>267</v>
      </c>
      <c r="B1249" s="19" t="s">
        <v>104</v>
      </c>
      <c r="C1249" s="19">
        <v>2028</v>
      </c>
      <c r="D1249" s="19">
        <v>51101</v>
      </c>
      <c r="E1249" s="25">
        <v>77834</v>
      </c>
      <c r="F1249" s="19" t="s">
        <v>129</v>
      </c>
      <c r="G1249" s="25">
        <v>77834</v>
      </c>
    </row>
    <row r="1250" spans="1:7" x14ac:dyDescent="0.25">
      <c r="A1250" s="19">
        <v>267</v>
      </c>
      <c r="B1250" s="19" t="s">
        <v>104</v>
      </c>
      <c r="C1250" s="19">
        <v>2028</v>
      </c>
      <c r="D1250" s="19">
        <v>52101</v>
      </c>
      <c r="E1250" s="25">
        <v>10280</v>
      </c>
      <c r="F1250" s="19" t="s">
        <v>129</v>
      </c>
      <c r="G1250" s="25">
        <v>10280</v>
      </c>
    </row>
    <row r="1251" spans="1:7" x14ac:dyDescent="0.25">
      <c r="A1251" s="19">
        <v>267</v>
      </c>
      <c r="B1251" s="19" t="s">
        <v>104</v>
      </c>
      <c r="C1251" s="19">
        <v>2028</v>
      </c>
      <c r="D1251" s="19">
        <v>52111</v>
      </c>
      <c r="E1251" s="25">
        <v>1263</v>
      </c>
      <c r="F1251" s="19" t="s">
        <v>129</v>
      </c>
      <c r="G1251" s="25">
        <v>1263</v>
      </c>
    </row>
    <row r="1252" spans="1:7" x14ac:dyDescent="0.25">
      <c r="A1252" s="19">
        <v>267</v>
      </c>
      <c r="B1252" s="19" t="s">
        <v>104</v>
      </c>
      <c r="C1252" s="19">
        <v>2028</v>
      </c>
      <c r="D1252" s="19">
        <v>52201</v>
      </c>
      <c r="E1252" s="25">
        <v>5955</v>
      </c>
      <c r="F1252" s="19" t="s">
        <v>129</v>
      </c>
      <c r="G1252" s="25">
        <v>5955</v>
      </c>
    </row>
    <row r="1253" spans="1:7" x14ac:dyDescent="0.25">
      <c r="A1253" s="19">
        <v>267</v>
      </c>
      <c r="B1253" s="19" t="s">
        <v>104</v>
      </c>
      <c r="C1253" s="19">
        <v>2029</v>
      </c>
      <c r="D1253" s="19">
        <v>51101</v>
      </c>
      <c r="E1253" s="25">
        <v>78603</v>
      </c>
      <c r="F1253" s="19" t="s">
        <v>129</v>
      </c>
      <c r="G1253" s="25">
        <v>78603</v>
      </c>
    </row>
    <row r="1254" spans="1:7" x14ac:dyDescent="0.25">
      <c r="A1254" s="19">
        <v>267</v>
      </c>
      <c r="B1254" s="19" t="s">
        <v>104</v>
      </c>
      <c r="C1254" s="19">
        <v>2029</v>
      </c>
      <c r="D1254" s="19">
        <v>52101</v>
      </c>
      <c r="E1254" s="25">
        <v>10594</v>
      </c>
      <c r="F1254" s="19" t="s">
        <v>129</v>
      </c>
      <c r="G1254" s="25">
        <v>10594</v>
      </c>
    </row>
    <row r="1255" spans="1:7" x14ac:dyDescent="0.25">
      <c r="A1255" s="19">
        <v>267</v>
      </c>
      <c r="B1255" s="19" t="s">
        <v>104</v>
      </c>
      <c r="C1255" s="19">
        <v>2029</v>
      </c>
      <c r="D1255" s="19">
        <v>52111</v>
      </c>
      <c r="E1255" s="25">
        <v>1275</v>
      </c>
      <c r="F1255" s="19" t="s">
        <v>129</v>
      </c>
      <c r="G1255" s="25">
        <v>1275</v>
      </c>
    </row>
    <row r="1256" spans="1:7" x14ac:dyDescent="0.25">
      <c r="A1256" s="19">
        <v>267</v>
      </c>
      <c r="B1256" s="19" t="s">
        <v>104</v>
      </c>
      <c r="C1256" s="19">
        <v>2029</v>
      </c>
      <c r="D1256" s="19">
        <v>52201</v>
      </c>
      <c r="E1256" s="25">
        <v>6013</v>
      </c>
      <c r="F1256" s="19" t="s">
        <v>129</v>
      </c>
      <c r="G1256" s="25">
        <v>6013</v>
      </c>
    </row>
    <row r="1257" spans="1:7" x14ac:dyDescent="0.25">
      <c r="A1257" s="19">
        <v>267</v>
      </c>
      <c r="B1257" s="19" t="s">
        <v>104</v>
      </c>
      <c r="C1257" s="19">
        <v>2030</v>
      </c>
      <c r="D1257" s="19">
        <v>51101</v>
      </c>
      <c r="E1257" s="25">
        <v>79394</v>
      </c>
      <c r="F1257" s="19" t="s">
        <v>129</v>
      </c>
      <c r="G1257" s="25">
        <v>79394</v>
      </c>
    </row>
    <row r="1258" spans="1:7" x14ac:dyDescent="0.25">
      <c r="A1258" s="19">
        <v>267</v>
      </c>
      <c r="B1258" s="19" t="s">
        <v>104</v>
      </c>
      <c r="C1258" s="19">
        <v>2030</v>
      </c>
      <c r="D1258" s="19">
        <v>52101</v>
      </c>
      <c r="E1258" s="25">
        <v>10918</v>
      </c>
      <c r="F1258" s="19" t="s">
        <v>129</v>
      </c>
      <c r="G1258" s="25">
        <v>10918</v>
      </c>
    </row>
    <row r="1259" spans="1:7" x14ac:dyDescent="0.25">
      <c r="A1259" s="19">
        <v>267</v>
      </c>
      <c r="B1259" s="19" t="s">
        <v>104</v>
      </c>
      <c r="C1259" s="19">
        <v>2030</v>
      </c>
      <c r="D1259" s="19">
        <v>52111</v>
      </c>
      <c r="E1259" s="25">
        <v>1288</v>
      </c>
      <c r="F1259" s="19" t="s">
        <v>129</v>
      </c>
      <c r="G1259" s="25">
        <v>1288</v>
      </c>
    </row>
    <row r="1260" spans="1:7" x14ac:dyDescent="0.25">
      <c r="A1260" s="19">
        <v>267</v>
      </c>
      <c r="B1260" s="19" t="s">
        <v>104</v>
      </c>
      <c r="C1260" s="19">
        <v>2030</v>
      </c>
      <c r="D1260" s="19">
        <v>52201</v>
      </c>
      <c r="E1260" s="25">
        <v>6073</v>
      </c>
      <c r="F1260" s="19" t="s">
        <v>129</v>
      </c>
      <c r="G1260" s="25">
        <v>6073</v>
      </c>
    </row>
    <row r="1261" spans="1:7" x14ac:dyDescent="0.25">
      <c r="A1261" s="26"/>
      <c r="B1261" s="26"/>
      <c r="C1261" s="26"/>
      <c r="D1261" s="26"/>
      <c r="E1261" s="60" t="s">
        <v>105</v>
      </c>
      <c r="F1261" s="60"/>
      <c r="G1261" s="27">
        <v>476720</v>
      </c>
    </row>
    <row r="1263" spans="1:7" x14ac:dyDescent="0.25">
      <c r="A1263" s="1" t="s">
        <v>130</v>
      </c>
    </row>
    <row r="1264" spans="1:7" x14ac:dyDescent="0.25">
      <c r="A1264" s="24" t="s">
        <v>2</v>
      </c>
      <c r="B1264" s="24"/>
      <c r="C1264" s="24" t="s">
        <v>3</v>
      </c>
      <c r="D1264" s="24"/>
      <c r="E1264" s="57"/>
      <c r="F1264" s="58"/>
      <c r="G1264" s="59"/>
    </row>
    <row r="1265" spans="1:7" x14ac:dyDescent="0.25">
      <c r="A1265" s="24" t="s">
        <v>4</v>
      </c>
      <c r="B1265" s="24"/>
      <c r="C1265" s="24" t="s">
        <v>5</v>
      </c>
      <c r="D1265" s="24" t="s">
        <v>6</v>
      </c>
      <c r="E1265" s="24" t="s">
        <v>7</v>
      </c>
      <c r="F1265" s="24" t="s">
        <v>8</v>
      </c>
      <c r="G1265" s="24" t="s">
        <v>9</v>
      </c>
    </row>
    <row r="1266" spans="1:7" x14ac:dyDescent="0.25">
      <c r="A1266" s="19">
        <v>267</v>
      </c>
      <c r="B1266" s="19" t="s">
        <v>104</v>
      </c>
      <c r="C1266" s="19">
        <v>2026</v>
      </c>
      <c r="D1266" s="19">
        <v>51101</v>
      </c>
      <c r="E1266" s="25">
        <v>76294</v>
      </c>
      <c r="F1266" s="19" t="s">
        <v>129</v>
      </c>
      <c r="G1266" s="25">
        <v>76294</v>
      </c>
    </row>
    <row r="1267" spans="1:7" x14ac:dyDescent="0.25">
      <c r="A1267" s="19">
        <v>267</v>
      </c>
      <c r="B1267" s="19" t="s">
        <v>104</v>
      </c>
      <c r="C1267" s="19">
        <v>2026</v>
      </c>
      <c r="D1267" s="19">
        <v>52101</v>
      </c>
      <c r="E1267" s="25">
        <v>9679</v>
      </c>
      <c r="F1267" s="19" t="s">
        <v>129</v>
      </c>
      <c r="G1267" s="25">
        <v>9679</v>
      </c>
    </row>
    <row r="1268" spans="1:7" x14ac:dyDescent="0.25">
      <c r="A1268" s="19">
        <v>267</v>
      </c>
      <c r="B1268" s="19" t="s">
        <v>104</v>
      </c>
      <c r="C1268" s="19">
        <v>2026</v>
      </c>
      <c r="D1268" s="19">
        <v>52111</v>
      </c>
      <c r="E1268" s="25">
        <v>1237</v>
      </c>
      <c r="F1268" s="19" t="s">
        <v>129</v>
      </c>
      <c r="G1268" s="25">
        <v>1237</v>
      </c>
    </row>
    <row r="1269" spans="1:7" x14ac:dyDescent="0.25">
      <c r="A1269" s="19">
        <v>267</v>
      </c>
      <c r="B1269" s="19" t="s">
        <v>104</v>
      </c>
      <c r="C1269" s="19">
        <v>2026</v>
      </c>
      <c r="D1269" s="19">
        <v>52201</v>
      </c>
      <c r="E1269" s="25">
        <v>5836</v>
      </c>
      <c r="F1269" s="19" t="s">
        <v>129</v>
      </c>
      <c r="G1269" s="25">
        <v>5836</v>
      </c>
    </row>
    <row r="1270" spans="1:7" x14ac:dyDescent="0.25">
      <c r="A1270" s="19">
        <v>267</v>
      </c>
      <c r="B1270" s="19" t="s">
        <v>104</v>
      </c>
      <c r="C1270" s="19">
        <v>2027</v>
      </c>
      <c r="D1270" s="19">
        <v>51101</v>
      </c>
      <c r="E1270" s="25">
        <v>77064</v>
      </c>
      <c r="F1270" s="19" t="s">
        <v>129</v>
      </c>
      <c r="G1270" s="25">
        <v>77064</v>
      </c>
    </row>
    <row r="1271" spans="1:7" x14ac:dyDescent="0.25">
      <c r="A1271" s="19">
        <v>267</v>
      </c>
      <c r="B1271" s="19" t="s">
        <v>104</v>
      </c>
      <c r="C1271" s="19">
        <v>2027</v>
      </c>
      <c r="D1271" s="19">
        <v>52101</v>
      </c>
      <c r="E1271" s="25">
        <v>9975</v>
      </c>
      <c r="F1271" s="19" t="s">
        <v>129</v>
      </c>
      <c r="G1271" s="25">
        <v>9975</v>
      </c>
    </row>
    <row r="1272" spans="1:7" x14ac:dyDescent="0.25">
      <c r="A1272" s="19">
        <v>267</v>
      </c>
      <c r="B1272" s="19" t="s">
        <v>104</v>
      </c>
      <c r="C1272" s="19">
        <v>2027</v>
      </c>
      <c r="D1272" s="19">
        <v>52111</v>
      </c>
      <c r="E1272" s="25">
        <v>1250</v>
      </c>
      <c r="F1272" s="19" t="s">
        <v>129</v>
      </c>
      <c r="G1272" s="25">
        <v>1250</v>
      </c>
    </row>
    <row r="1273" spans="1:7" x14ac:dyDescent="0.25">
      <c r="A1273" s="19">
        <v>267</v>
      </c>
      <c r="B1273" s="19" t="s">
        <v>104</v>
      </c>
      <c r="C1273" s="19">
        <v>2027</v>
      </c>
      <c r="D1273" s="19">
        <v>52201</v>
      </c>
      <c r="E1273" s="25">
        <v>5895</v>
      </c>
      <c r="F1273" s="19" t="s">
        <v>129</v>
      </c>
      <c r="G1273" s="25">
        <v>5895</v>
      </c>
    </row>
    <row r="1274" spans="1:7" x14ac:dyDescent="0.25">
      <c r="A1274" s="19">
        <v>267</v>
      </c>
      <c r="B1274" s="19" t="s">
        <v>104</v>
      </c>
      <c r="C1274" s="19">
        <v>2028</v>
      </c>
      <c r="D1274" s="19">
        <v>51101</v>
      </c>
      <c r="E1274" s="25">
        <v>77834</v>
      </c>
      <c r="F1274" s="19" t="s">
        <v>129</v>
      </c>
      <c r="G1274" s="25">
        <v>77834</v>
      </c>
    </row>
    <row r="1275" spans="1:7" x14ac:dyDescent="0.25">
      <c r="A1275" s="19">
        <v>267</v>
      </c>
      <c r="B1275" s="19" t="s">
        <v>104</v>
      </c>
      <c r="C1275" s="19">
        <v>2028</v>
      </c>
      <c r="D1275" s="19">
        <v>52101</v>
      </c>
      <c r="E1275" s="25">
        <v>10280</v>
      </c>
      <c r="F1275" s="19" t="s">
        <v>129</v>
      </c>
      <c r="G1275" s="25">
        <v>10280</v>
      </c>
    </row>
    <row r="1276" spans="1:7" x14ac:dyDescent="0.25">
      <c r="A1276" s="19">
        <v>267</v>
      </c>
      <c r="B1276" s="19" t="s">
        <v>104</v>
      </c>
      <c r="C1276" s="19">
        <v>2028</v>
      </c>
      <c r="D1276" s="19">
        <v>52111</v>
      </c>
      <c r="E1276" s="25">
        <v>1263</v>
      </c>
      <c r="F1276" s="19" t="s">
        <v>129</v>
      </c>
      <c r="G1276" s="25">
        <v>1263</v>
      </c>
    </row>
    <row r="1277" spans="1:7" x14ac:dyDescent="0.25">
      <c r="A1277" s="19">
        <v>267</v>
      </c>
      <c r="B1277" s="19" t="s">
        <v>104</v>
      </c>
      <c r="C1277" s="19">
        <v>2028</v>
      </c>
      <c r="D1277" s="19">
        <v>52201</v>
      </c>
      <c r="E1277" s="25">
        <v>5955</v>
      </c>
      <c r="F1277" s="19" t="s">
        <v>129</v>
      </c>
      <c r="G1277" s="25">
        <v>5955</v>
      </c>
    </row>
    <row r="1278" spans="1:7" x14ac:dyDescent="0.25">
      <c r="A1278" s="19">
        <v>267</v>
      </c>
      <c r="B1278" s="19" t="s">
        <v>104</v>
      </c>
      <c r="C1278" s="19">
        <v>2029</v>
      </c>
      <c r="D1278" s="19">
        <v>51101</v>
      </c>
      <c r="E1278" s="25">
        <v>78603</v>
      </c>
      <c r="F1278" s="19" t="s">
        <v>129</v>
      </c>
      <c r="G1278" s="25">
        <v>78603</v>
      </c>
    </row>
    <row r="1279" spans="1:7" x14ac:dyDescent="0.25">
      <c r="A1279" s="19">
        <v>267</v>
      </c>
      <c r="B1279" s="19" t="s">
        <v>104</v>
      </c>
      <c r="C1279" s="19">
        <v>2029</v>
      </c>
      <c r="D1279" s="19">
        <v>52101</v>
      </c>
      <c r="E1279" s="25">
        <v>10594</v>
      </c>
      <c r="F1279" s="19" t="s">
        <v>129</v>
      </c>
      <c r="G1279" s="25">
        <v>10594</v>
      </c>
    </row>
    <row r="1280" spans="1:7" x14ac:dyDescent="0.25">
      <c r="A1280" s="19">
        <v>267</v>
      </c>
      <c r="B1280" s="19" t="s">
        <v>104</v>
      </c>
      <c r="C1280" s="19">
        <v>2029</v>
      </c>
      <c r="D1280" s="19">
        <v>52111</v>
      </c>
      <c r="E1280" s="25">
        <v>1275</v>
      </c>
      <c r="F1280" s="19" t="s">
        <v>129</v>
      </c>
      <c r="G1280" s="25">
        <v>1275</v>
      </c>
    </row>
    <row r="1281" spans="1:7" x14ac:dyDescent="0.25">
      <c r="A1281" s="19">
        <v>267</v>
      </c>
      <c r="B1281" s="19" t="s">
        <v>104</v>
      </c>
      <c r="C1281" s="19">
        <v>2029</v>
      </c>
      <c r="D1281" s="19">
        <v>52201</v>
      </c>
      <c r="E1281" s="25">
        <v>6013</v>
      </c>
      <c r="F1281" s="19" t="s">
        <v>129</v>
      </c>
      <c r="G1281" s="25">
        <v>6013</v>
      </c>
    </row>
    <row r="1282" spans="1:7" x14ac:dyDescent="0.25">
      <c r="A1282" s="19">
        <v>267</v>
      </c>
      <c r="B1282" s="19" t="s">
        <v>104</v>
      </c>
      <c r="C1282" s="19">
        <v>2030</v>
      </c>
      <c r="D1282" s="19">
        <v>51101</v>
      </c>
      <c r="E1282" s="25">
        <v>79394</v>
      </c>
      <c r="F1282" s="19" t="s">
        <v>129</v>
      </c>
      <c r="G1282" s="25">
        <v>79394</v>
      </c>
    </row>
    <row r="1283" spans="1:7" x14ac:dyDescent="0.25">
      <c r="A1283" s="19">
        <v>267</v>
      </c>
      <c r="B1283" s="19" t="s">
        <v>104</v>
      </c>
      <c r="C1283" s="19">
        <v>2030</v>
      </c>
      <c r="D1283" s="19">
        <v>52101</v>
      </c>
      <c r="E1283" s="25">
        <v>10918</v>
      </c>
      <c r="F1283" s="19" t="s">
        <v>129</v>
      </c>
      <c r="G1283" s="25">
        <v>10918</v>
      </c>
    </row>
    <row r="1284" spans="1:7" x14ac:dyDescent="0.25">
      <c r="A1284" s="19">
        <v>267</v>
      </c>
      <c r="B1284" s="19" t="s">
        <v>104</v>
      </c>
      <c r="C1284" s="19">
        <v>2030</v>
      </c>
      <c r="D1284" s="19">
        <v>52111</v>
      </c>
      <c r="E1284" s="25">
        <v>1288</v>
      </c>
      <c r="F1284" s="19" t="s">
        <v>129</v>
      </c>
      <c r="G1284" s="25">
        <v>1288</v>
      </c>
    </row>
    <row r="1285" spans="1:7" x14ac:dyDescent="0.25">
      <c r="A1285" s="19">
        <v>267</v>
      </c>
      <c r="B1285" s="19" t="s">
        <v>104</v>
      </c>
      <c r="C1285" s="19">
        <v>2030</v>
      </c>
      <c r="D1285" s="19">
        <v>52201</v>
      </c>
      <c r="E1285" s="25">
        <v>6073</v>
      </c>
      <c r="F1285" s="19" t="s">
        <v>129</v>
      </c>
      <c r="G1285" s="25">
        <v>6073</v>
      </c>
    </row>
    <row r="1286" spans="1:7" x14ac:dyDescent="0.25">
      <c r="A1286" s="26"/>
      <c r="B1286" s="26"/>
      <c r="C1286" s="26"/>
      <c r="D1286" s="26"/>
      <c r="E1286" s="60" t="s">
        <v>105</v>
      </c>
      <c r="F1286" s="60"/>
      <c r="G1286" s="27">
        <v>476720</v>
      </c>
    </row>
  </sheetData>
  <mergeCells count="166">
    <mergeCell ref="E1239:G1239"/>
    <mergeCell ref="E1261:F1261"/>
    <mergeCell ref="E1264:G1264"/>
    <mergeCell ref="E1286:F1286"/>
    <mergeCell ref="E1169:G1169"/>
    <mergeCell ref="E1191:F1191"/>
    <mergeCell ref="E1194:G1194"/>
    <mergeCell ref="E1216:F1216"/>
    <mergeCell ref="E1219:G1219"/>
    <mergeCell ref="E1236:F1236"/>
    <mergeCell ref="E1090:G1090"/>
    <mergeCell ref="E1109:G1109"/>
    <mergeCell ref="E1129:G1129"/>
    <mergeCell ref="E1141:F1141"/>
    <mergeCell ref="E1144:G1144"/>
    <mergeCell ref="E1166:F1166"/>
    <mergeCell ref="E1004:F1004"/>
    <mergeCell ref="E1007:G1007"/>
    <mergeCell ref="E1029:F1029"/>
    <mergeCell ref="E1033:G1033"/>
    <mergeCell ref="E1052:G1052"/>
    <mergeCell ref="E1071:G1071"/>
    <mergeCell ref="E947:F947"/>
    <mergeCell ref="E950:G950"/>
    <mergeCell ref="E972:F972"/>
    <mergeCell ref="E975:G975"/>
    <mergeCell ref="E997:F997"/>
    <mergeCell ref="E1000:G1000"/>
    <mergeCell ref="E921:F921"/>
    <mergeCell ref="E924:G924"/>
    <mergeCell ref="E931:F931"/>
    <mergeCell ref="E934:G934"/>
    <mergeCell ref="E941:F941"/>
    <mergeCell ref="E944:G944"/>
    <mergeCell ref="E871:F871"/>
    <mergeCell ref="E874:G874"/>
    <mergeCell ref="E891:F891"/>
    <mergeCell ref="E894:G894"/>
    <mergeCell ref="E911:F911"/>
    <mergeCell ref="E914:G914"/>
    <mergeCell ref="E845:F845"/>
    <mergeCell ref="E848:G848"/>
    <mergeCell ref="E855:F855"/>
    <mergeCell ref="E858:G858"/>
    <mergeCell ref="E861:F861"/>
    <mergeCell ref="E864:G864"/>
    <mergeCell ref="E775:F775"/>
    <mergeCell ref="E778:G778"/>
    <mergeCell ref="E795:F795"/>
    <mergeCell ref="E798:G798"/>
    <mergeCell ref="E820:F820"/>
    <mergeCell ref="E823:G823"/>
    <mergeCell ref="E734:F734"/>
    <mergeCell ref="E737:G737"/>
    <mergeCell ref="E759:F759"/>
    <mergeCell ref="E762:G762"/>
    <mergeCell ref="E769:F769"/>
    <mergeCell ref="E772:G772"/>
    <mergeCell ref="E703:F703"/>
    <mergeCell ref="E706:G706"/>
    <mergeCell ref="E709:F709"/>
    <mergeCell ref="E712:G712"/>
    <mergeCell ref="E719:F719"/>
    <mergeCell ref="E722:G722"/>
    <mergeCell ref="E647:F647"/>
    <mergeCell ref="E650:G650"/>
    <mergeCell ref="E672:F672"/>
    <mergeCell ref="E675:G675"/>
    <mergeCell ref="E697:F697"/>
    <mergeCell ref="E700:G700"/>
    <mergeCell ref="E622:F622"/>
    <mergeCell ref="E625:G625"/>
    <mergeCell ref="E631:F631"/>
    <mergeCell ref="E634:G634"/>
    <mergeCell ref="E637:F637"/>
    <mergeCell ref="E640:G640"/>
    <mergeCell ref="E577:F577"/>
    <mergeCell ref="E580:G580"/>
    <mergeCell ref="E587:F587"/>
    <mergeCell ref="E590:G590"/>
    <mergeCell ref="E597:F597"/>
    <mergeCell ref="E600:G600"/>
    <mergeCell ref="E547:F547"/>
    <mergeCell ref="E550:G550"/>
    <mergeCell ref="E557:F557"/>
    <mergeCell ref="E560:G560"/>
    <mergeCell ref="E567:F567"/>
    <mergeCell ref="E570:G570"/>
    <mergeCell ref="E477:F477"/>
    <mergeCell ref="E480:G480"/>
    <mergeCell ref="E497:F497"/>
    <mergeCell ref="E500:G500"/>
    <mergeCell ref="E522:F522"/>
    <mergeCell ref="E525:G525"/>
    <mergeCell ref="E412:F412"/>
    <mergeCell ref="E415:G415"/>
    <mergeCell ref="E432:F432"/>
    <mergeCell ref="E435:G435"/>
    <mergeCell ref="E452:F452"/>
    <mergeCell ref="E455:G455"/>
    <mergeCell ref="E393:F393"/>
    <mergeCell ref="E396:G396"/>
    <mergeCell ref="E399:F399"/>
    <mergeCell ref="E402:G402"/>
    <mergeCell ref="E406:F406"/>
    <mergeCell ref="E409:G409"/>
    <mergeCell ref="E363:F363"/>
    <mergeCell ref="E366:G366"/>
    <mergeCell ref="E373:F373"/>
    <mergeCell ref="E376:G376"/>
    <mergeCell ref="E383:F383"/>
    <mergeCell ref="E386:G386"/>
    <mergeCell ref="E308:F308"/>
    <mergeCell ref="E311:G311"/>
    <mergeCell ref="E333:F333"/>
    <mergeCell ref="E336:G336"/>
    <mergeCell ref="E343:F343"/>
    <mergeCell ref="E346:G346"/>
    <mergeCell ref="E267:F267"/>
    <mergeCell ref="E270:G270"/>
    <mergeCell ref="E292:F292"/>
    <mergeCell ref="E295:G295"/>
    <mergeCell ref="E298:F298"/>
    <mergeCell ref="E301:G301"/>
    <mergeCell ref="E187:F187"/>
    <mergeCell ref="E190:G190"/>
    <mergeCell ref="E217:F217"/>
    <mergeCell ref="E220:G220"/>
    <mergeCell ref="E242:F242"/>
    <mergeCell ref="E245:G245"/>
    <mergeCell ref="E168:F168"/>
    <mergeCell ref="E171:G171"/>
    <mergeCell ref="E174:F174"/>
    <mergeCell ref="E177:G177"/>
    <mergeCell ref="E181:F181"/>
    <mergeCell ref="E184:G184"/>
    <mergeCell ref="E138:F138"/>
    <mergeCell ref="E141:G141"/>
    <mergeCell ref="E148:F148"/>
    <mergeCell ref="E151:G151"/>
    <mergeCell ref="E158:F158"/>
    <mergeCell ref="E161:G161"/>
    <mergeCell ref="E93:F93"/>
    <mergeCell ref="E96:G96"/>
    <mergeCell ref="E103:F103"/>
    <mergeCell ref="E106:G106"/>
    <mergeCell ref="E128:F128"/>
    <mergeCell ref="E131:G131"/>
    <mergeCell ref="E65:F65"/>
    <mergeCell ref="E67:G67"/>
    <mergeCell ref="E74:F74"/>
    <mergeCell ref="E76:G76"/>
    <mergeCell ref="E83:F83"/>
    <mergeCell ref="E86:G86"/>
    <mergeCell ref="E41:F41"/>
    <mergeCell ref="E43:G43"/>
    <mergeCell ref="E47:F47"/>
    <mergeCell ref="E49:G49"/>
    <mergeCell ref="E56:F56"/>
    <mergeCell ref="E58:G58"/>
    <mergeCell ref="A1:H1"/>
    <mergeCell ref="E4:G4"/>
    <mergeCell ref="E21:F21"/>
    <mergeCell ref="E25:G25"/>
    <mergeCell ref="E32:F32"/>
    <mergeCell ref="E34:G34"/>
  </mergeCells>
  <pageMargins left="0.7" right="0.7" top="0.75" bottom="0.75" header="0.3" footer="0.3"/>
  <pageSetup scale="7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Walmsley, Kiersten</dc:creator>
  <cp:lastModifiedBy>Criss, Louise</cp:lastModifiedBy>
  <cp:lastPrinted>2026-04-15T13:09:51Z</cp:lastPrinted>
  <dcterms:created xsi:type="dcterms:W3CDTF">2026-04-15T13:05:07Z</dcterms:created>
  <dcterms:modified xsi:type="dcterms:W3CDTF">2026-04-16T18:33:19Z</dcterms:modified>
</cp:coreProperties>
</file>