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460" windowHeight="5490" tabRatio="670" activeTab="0"/>
  </bookViews>
  <sheets>
    <sheet name="Op1" sheetId="1" r:id="rId1"/>
    <sheet name="Op1b" sheetId="14" r:id="rId2"/>
    <sheet name="Op2" sheetId="2" r:id="rId3"/>
    <sheet name="Op3" sheetId="3" r:id="rId4"/>
    <sheet name="Op5" sheetId="5" r:id="rId5"/>
    <sheet name="Op6" sheetId="6" r:id="rId6"/>
    <sheet name="Op7" sheetId="7" r:id="rId7"/>
    <sheet name="Op8" sheetId="10" r:id="rId8"/>
    <sheet name="Op9" sheetId="11" r:id="rId9"/>
    <sheet name="Op10" sheetId="15" r:id="rId10"/>
    <sheet name="Admin - Personnel" sheetId="16" r:id="rId11"/>
  </sheets>
  <externalReferences>
    <externalReference r:id="rId14"/>
    <externalReference r:id="rId15"/>
    <externalReference r:id="rId16"/>
  </externalReferences>
  <definedNames>
    <definedName name="_xlnm.Print_Area" localSheetId="0">'Op1'!$A$1:$H$192</definedName>
    <definedName name="_xlnm.Print_Area" localSheetId="9">'Op10'!$A$1:$H$23</definedName>
    <definedName name="_xlnm.Print_Area" localSheetId="1">'Op1b'!$A$1:$H$10</definedName>
    <definedName name="_xlnm.Print_Area" localSheetId="2">'Op2'!$A$1:$H$17</definedName>
    <definedName name="_xlnm.Print_Area" localSheetId="3">'Op3'!$A$1:$G$30</definedName>
    <definedName name="_xlnm.Print_Area" localSheetId="4">'Op5'!$A$1:$G$22</definedName>
    <definedName name="_xlnm.Print_Area" localSheetId="5">'Op6'!$A$1:$G$22</definedName>
    <definedName name="_xlnm.Print_Area" localSheetId="6">'Op7'!$A$1:$G$70</definedName>
    <definedName name="_xlnm.Print_Area" localSheetId="7">'Op8'!$A$1:$G$15</definedName>
    <definedName name="_xlnm.Print_Area" localSheetId="8">'Op9'!$A$1:$G$6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<sst xmlns="http://schemas.openxmlformats.org/spreadsheetml/2006/main" count="1366" uniqueCount="183">
  <si>
    <t>Presented by Councilman Lavelle</t>
  </si>
  <si>
    <t>Budget</t>
  </si>
  <si>
    <t>Increase/</t>
  </si>
  <si>
    <t>rate/grade</t>
  </si>
  <si>
    <t>Page</t>
  </si>
  <si>
    <t>Decrease</t>
  </si>
  <si>
    <t>or account</t>
  </si>
  <si>
    <t>Dept.</t>
  </si>
  <si>
    <t>Position/Account</t>
  </si>
  <si>
    <t>From</t>
  </si>
  <si>
    <t>To</t>
  </si>
  <si>
    <t>Amount</t>
  </si>
  <si>
    <t>Increase</t>
  </si>
  <si>
    <t>All</t>
  </si>
  <si>
    <t>Salaries (Citywide General Fund)</t>
  </si>
  <si>
    <t>Social Security (Citywide General Fund)</t>
  </si>
  <si>
    <t>Other Insurance/ Benefits (Citywide General Fund)</t>
  </si>
  <si>
    <t>Net Change, 2023 Operating Budget:</t>
  </si>
  <si>
    <t>Bill number 2022-0948 (Appropriations)</t>
  </si>
  <si>
    <t>Year</t>
  </si>
  <si>
    <t>Dept</t>
  </si>
  <si>
    <t>Subclass</t>
  </si>
  <si>
    <t>Change</t>
  </si>
  <si>
    <t>51- Salaries &amp; Wages (Citywide General Fund)</t>
  </si>
  <si>
    <t>52- Employee Benefits (Citywide General Fund)</t>
  </si>
  <si>
    <t>Net Change, out years of 5 year plan:</t>
  </si>
  <si>
    <r>
      <t xml:space="preserve">Operating Amendment #2 - </t>
    </r>
    <r>
      <rPr>
        <sz val="12"/>
        <color theme="1"/>
        <rFont val="Times New Roman"/>
        <family val="1"/>
      </rPr>
      <t>Increased Transfer to Stop the Violence TF</t>
    </r>
  </si>
  <si>
    <t>Transfer to Stop the Violence Trust Fund</t>
  </si>
  <si>
    <r>
      <t xml:space="preserve">Operating Amendment #3 - </t>
    </r>
    <r>
      <rPr>
        <sz val="12"/>
        <color theme="1"/>
        <rFont val="Times New Roman"/>
        <family val="1"/>
      </rPr>
      <t>Rate grade increase for Council as a Body staff</t>
    </r>
  </si>
  <si>
    <t>Presented by Council President Kail-Smith</t>
  </si>
  <si>
    <t>City Council as a Body</t>
  </si>
  <si>
    <t>16G to 17G</t>
  </si>
  <si>
    <t>Deputy City Clerk 2, Secretary</t>
  </si>
  <si>
    <t>Deputy City Clerk 2</t>
  </si>
  <si>
    <t>15G to 16G</t>
  </si>
  <si>
    <t>Deputy City Clerk 1 (x2)</t>
  </si>
  <si>
    <t>10G to 11G</t>
  </si>
  <si>
    <t>Deputy City Clerk 1</t>
  </si>
  <si>
    <t>24E to 24F</t>
  </si>
  <si>
    <t>Records Management Manager</t>
  </si>
  <si>
    <t>17F to 17G</t>
  </si>
  <si>
    <t>Archivist</t>
  </si>
  <si>
    <t>12-5 to 13-2</t>
  </si>
  <si>
    <t>City Council Solicitor</t>
  </si>
  <si>
    <t>22E to 27E</t>
  </si>
  <si>
    <t>Community Health &amp; Human Services Policy Manager</t>
  </si>
  <si>
    <t>20E</t>
  </si>
  <si>
    <t>Paralegal</t>
  </si>
  <si>
    <t>11G</t>
  </si>
  <si>
    <t>Administrative Specialist</t>
  </si>
  <si>
    <t>Other Insurance/Benefits</t>
  </si>
  <si>
    <t>Social Security</t>
  </si>
  <si>
    <t>Clerk</t>
  </si>
  <si>
    <t>51- Salaries &amp; Wages</t>
  </si>
  <si>
    <t>52- Employee Benefits</t>
  </si>
  <si>
    <t>Office Supplies</t>
  </si>
  <si>
    <t>53 - Prof &amp; Technical Services</t>
  </si>
  <si>
    <t>56 - Supplies</t>
  </si>
  <si>
    <r>
      <t xml:space="preserve">Operating Amendment #5 - </t>
    </r>
    <r>
      <rPr>
        <sz val="12"/>
        <color theme="1"/>
        <rFont val="Times New Roman"/>
        <family val="1"/>
      </rPr>
      <t>Position Upgrade in DOMI</t>
    </r>
  </si>
  <si>
    <t>DOMI</t>
  </si>
  <si>
    <t>26E</t>
  </si>
  <si>
    <t>Operations Manager</t>
  </si>
  <si>
    <t>31F</t>
  </si>
  <si>
    <t>Superintendent</t>
  </si>
  <si>
    <t>51 - Personnel - Salaries &amp; Wages</t>
  </si>
  <si>
    <t>52 - Personnel - Employee Benefits</t>
  </si>
  <si>
    <r>
      <t xml:space="preserve">Operating Amendment #6 - </t>
    </r>
    <r>
      <rPr>
        <sz val="12"/>
        <color theme="1"/>
        <rFont val="Times New Roman"/>
        <family val="1"/>
      </rPr>
      <t>Add Administrative Assistant to CPRB</t>
    </r>
  </si>
  <si>
    <t>Presented by Councilman Kraus</t>
  </si>
  <si>
    <t>CPRB</t>
  </si>
  <si>
    <t>15E</t>
  </si>
  <si>
    <t>Administrative Assistant</t>
  </si>
  <si>
    <t>Health Insurance</t>
  </si>
  <si>
    <r>
      <t xml:space="preserve">Operating Amendment #7 - </t>
    </r>
    <r>
      <rPr>
        <sz val="12"/>
        <color theme="1"/>
        <rFont val="Times New Roman"/>
        <family val="1"/>
      </rPr>
      <t>Moving Print Shop and Cable Bureau back to I&amp;P</t>
    </r>
  </si>
  <si>
    <t>Presented by Councilman Coghill</t>
  </si>
  <si>
    <t>Salary</t>
  </si>
  <si>
    <t>Health</t>
  </si>
  <si>
    <t>Other Insurance</t>
  </si>
  <si>
    <t>SS</t>
  </si>
  <si>
    <t>Assistant Manager, Communication Services</t>
  </si>
  <si>
    <t>27E</t>
  </si>
  <si>
    <t>Communication Technology Manager</t>
  </si>
  <si>
    <t>U05-L</t>
  </si>
  <si>
    <t>Coordinator, Print Shop</t>
  </si>
  <si>
    <t>U07-E</t>
  </si>
  <si>
    <t>Editor/ Videographer (X3)</t>
  </si>
  <si>
    <t>Manager, Communication Services</t>
  </si>
  <si>
    <t>Web Developer</t>
  </si>
  <si>
    <t>Other Insurance/ Benefits</t>
  </si>
  <si>
    <t>Mayor</t>
  </si>
  <si>
    <t>I&amp;P</t>
  </si>
  <si>
    <t>Five Year Financial Forecast</t>
  </si>
  <si>
    <t>Transfer to PAYGO</t>
  </si>
  <si>
    <t>N/A</t>
  </si>
  <si>
    <t>Remove (1) 311 Call Representative</t>
  </si>
  <si>
    <t xml:space="preserve">51- Salaries &amp; Wages </t>
  </si>
  <si>
    <t>Remove (1) Talent Acquisition Coordinator</t>
  </si>
  <si>
    <t>HR</t>
  </si>
  <si>
    <t>Remove (1) Financial Analyst</t>
  </si>
  <si>
    <t>Finance</t>
  </si>
  <si>
    <t>Remove (1) Engagement Specialist</t>
  </si>
  <si>
    <t>Planning</t>
  </si>
  <si>
    <t>Remove One Call Technician</t>
  </si>
  <si>
    <t>Remove Executive Assistant</t>
  </si>
  <si>
    <t>Parks</t>
  </si>
  <si>
    <t xml:space="preserve">Remove (2) Laborers </t>
  </si>
  <si>
    <t>DPW Ops</t>
  </si>
  <si>
    <t>Remove (2) Truck Drivers</t>
  </si>
  <si>
    <t>OPEB Contribution</t>
  </si>
  <si>
    <t>Transfers Out</t>
  </si>
  <si>
    <t>Offset</t>
  </si>
  <si>
    <t>Op3</t>
  </si>
  <si>
    <t>Op5</t>
  </si>
  <si>
    <t>Premium Pay</t>
  </si>
  <si>
    <t>Computer Maintenance</t>
  </si>
  <si>
    <t>Repairs</t>
  </si>
  <si>
    <t>Op 6</t>
  </si>
  <si>
    <t>Presented by Councilperson Strassburger and Council President Kail-Smith</t>
  </si>
  <si>
    <r>
      <t>Operating Amendment #9 -</t>
    </r>
    <r>
      <rPr>
        <b/>
        <sz val="11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Adding a Parks Tax transfer of $950k to Capital Budget</t>
    </r>
  </si>
  <si>
    <r>
      <t xml:space="preserve">Operating Amendment #1a- </t>
    </r>
    <r>
      <rPr>
        <sz val="12"/>
        <color theme="1"/>
        <rFont val="Times New Roman"/>
        <family val="1"/>
      </rPr>
      <t>Increase Non-union salaries by 1% in 2023 and 2% in 2024, 2025, and 2026</t>
    </r>
  </si>
  <si>
    <t>Salaries (Citywide Trust Funds)</t>
  </si>
  <si>
    <t>Social Security (Citywide Trust Funds)</t>
  </si>
  <si>
    <t>Other Insurance/ Benefits (Citywide Trust Funds)</t>
  </si>
  <si>
    <r>
      <t xml:space="preserve">Operating Amendment #1b- </t>
    </r>
    <r>
      <rPr>
        <sz val="12"/>
        <color theme="1"/>
        <rFont val="Times New Roman"/>
        <family val="1"/>
      </rPr>
      <t>Increase Non-union salaries by 1% in 2023</t>
    </r>
  </si>
  <si>
    <t>Operating Amendment #10 Council Salary Increases</t>
  </si>
  <si>
    <t>City Council</t>
  </si>
  <si>
    <t xml:space="preserve">Member of Council (x9) </t>
  </si>
  <si>
    <t>Administration Amendments</t>
  </si>
  <si>
    <t>#1 - Add one position in the Mayor's Office</t>
  </si>
  <si>
    <t>Object Account
Step/Grade</t>
  </si>
  <si>
    <t>5 Year</t>
  </si>
  <si>
    <t>Office of the Mayor</t>
  </si>
  <si>
    <t>Total</t>
  </si>
  <si>
    <t>Impact</t>
  </si>
  <si>
    <t>Add (1) Press Officer</t>
  </si>
  <si>
    <t>Social Security &amp; Medicare</t>
  </si>
  <si>
    <t>#2 - Move one position from Planning to the Mayor's Office</t>
  </si>
  <si>
    <t>Department of City Planning</t>
  </si>
  <si>
    <t>Remove (1) Communications &amp; Engagement Coordinator</t>
  </si>
  <si>
    <t>Add (1) Engagement Specialist</t>
  </si>
  <si>
    <t>#3 - Promote one position in OMB</t>
  </si>
  <si>
    <t>Office of Management and Budget</t>
  </si>
  <si>
    <t>Remove (1) Budget Analyst</t>
  </si>
  <si>
    <t>Add (1) Senior Budget Analyst</t>
  </si>
  <si>
    <t>#4 - Correct an incorrect salary in Finance</t>
  </si>
  <si>
    <t>Department of Finance</t>
  </si>
  <si>
    <t>Correct salary of (1) Senior Assistant, Real Estate</t>
  </si>
  <si>
    <t>Three Taxing Bodies Trust Fund</t>
  </si>
  <si>
    <t>#5 - Change a title in Law</t>
  </si>
  <si>
    <t>Department of Law</t>
  </si>
  <si>
    <t>neutral</t>
  </si>
  <si>
    <t>Change (1) Administrative Assistant to (1) Claims Specialist at the same salary</t>
  </si>
  <si>
    <t>#6 - Remove two positions and add one in Public Safety Administraiton</t>
  </si>
  <si>
    <t>Department of Public Safety - Bureau of Administration</t>
  </si>
  <si>
    <t>Remove (3) Crossing Guards</t>
  </si>
  <si>
    <t>#7 - Change a title in Public Works Administration</t>
  </si>
  <si>
    <t>Department of Public Works - Bureau of Administration</t>
  </si>
  <si>
    <t>Change (1) Data Analyst to (1) Operational Performance Analyst at the same salary</t>
  </si>
  <si>
    <t>#8 - Add two positions in Public Works Operations</t>
  </si>
  <si>
    <t>Department of Public Works - Bureau of Operations</t>
  </si>
  <si>
    <t>Add (2) Foremen, Second in Command</t>
  </si>
  <si>
    <t>#9 - Remove one position in Public Works Environmental Services</t>
  </si>
  <si>
    <t>Department of Public Works - Bureau of Environmental Services</t>
  </si>
  <si>
    <t>Remove (1) Program Supevisor</t>
  </si>
  <si>
    <t>#10 - Add two positions in Public Works Facilities</t>
  </si>
  <si>
    <t>Department of Public Works - Bureau of Facilities</t>
  </si>
  <si>
    <t>Add (2) Project Managers</t>
  </si>
  <si>
    <t>#11 - Increase the rate of a position in the Shade Tree Trust Fund</t>
  </si>
  <si>
    <t>Shade Tree Trust Fund</t>
  </si>
  <si>
    <t>Increase the rate of (1) Arborist-Utility Coordinator from 17D to 19G</t>
  </si>
  <si>
    <t>#12 - Add two positions in the Stop the Violence Trust Fund</t>
  </si>
  <si>
    <t xml:space="preserve">                                </t>
  </si>
  <si>
    <t>Stop the Violence Trust Fund</t>
  </si>
  <si>
    <t>Add (1) Media Coordinator</t>
  </si>
  <si>
    <t>#13 - Update PJCBC healthcare rates (General Fund)</t>
  </si>
  <si>
    <t>various</t>
  </si>
  <si>
    <t>Health Insurance (Public Safety - Administration)</t>
  </si>
  <si>
    <t>Health Insurance (Public Works - Operations</t>
  </si>
  <si>
    <t>Health Insurance (Public Works - Facilities)</t>
  </si>
  <si>
    <t>Health Insurance (Mobility and Infrastructure)</t>
  </si>
  <si>
    <t>#14 - Update PJCBC healthcare rates (Trust Funds)</t>
  </si>
  <si>
    <r>
      <t xml:space="preserve">Add (1) Film &amp; </t>
    </r>
    <r>
      <rPr>
        <b/>
        <sz val="11"/>
        <color theme="1"/>
        <rFont val="Calibri"/>
        <family val="2"/>
        <scheme val="minor"/>
      </rPr>
      <t xml:space="preserve">Event </t>
    </r>
    <r>
      <rPr>
        <sz val="11"/>
        <color theme="1"/>
        <rFont val="Calibri"/>
        <family val="2"/>
        <scheme val="minor"/>
      </rPr>
      <t>Permit Coordinator</t>
    </r>
  </si>
  <si>
    <t>#12 - Add one positions in the Stop the Violence Trust Fund</t>
  </si>
  <si>
    <r>
      <t xml:space="preserve">Operating Amendment #8 - </t>
    </r>
    <r>
      <rPr>
        <strike/>
        <sz val="12"/>
        <color theme="1"/>
        <rFont val="Times New Roman"/>
        <family val="1"/>
      </rPr>
      <t>Increasing Transfer to PAYGO due to Brownsville Road Study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</si>
</sst>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4"/>
      <color theme="1"/>
      <name val="Times New Roman"/>
      <family val="1"/>
    </font>
    <font>
      <strike/>
      <sz val="11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1"/>
      <color theme="1"/>
      <name val="Calibri"/>
      <family val="2"/>
      <scheme val="minor"/>
    </font>
    <font>
      <b/>
      <strike/>
      <sz val="12"/>
      <color theme="1"/>
      <name val="Times New Roman"/>
      <family val="1"/>
    </font>
    <font>
      <b/>
      <strike/>
      <sz val="11"/>
      <name val="Calibri"/>
      <family val="2"/>
      <scheme val="minor"/>
    </font>
    <font>
      <b/>
      <strike/>
      <sz val="14"/>
      <color theme="1"/>
      <name val="Times New Roman"/>
      <family val="1"/>
    </font>
    <font>
      <b/>
      <strike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164" fontId="3" fillId="0" borderId="0" xfId="18" applyNumberFormat="1" applyFont="1"/>
    <xf numFmtId="164" fontId="3" fillId="2" borderId="1" xfId="18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18" applyNumberFormat="1" applyFont="1" applyBorder="1"/>
    <xf numFmtId="0" fontId="3" fillId="0" borderId="0" xfId="0" applyFont="1" applyAlignment="1">
      <alignment horizontal="center"/>
    </xf>
    <xf numFmtId="164" fontId="4" fillId="0" borderId="0" xfId="18" applyNumberFormat="1" applyFont="1" applyAlignment="1">
      <alignment horizontal="right"/>
    </xf>
    <xf numFmtId="165" fontId="3" fillId="0" borderId="0" xfId="16" applyNumberFormat="1" applyFont="1"/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" fillId="0" borderId="0" xfId="18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1" xfId="18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18" applyNumberFormat="1" applyFont="1" applyBorder="1" applyAlignment="1">
      <alignment vertical="center"/>
    </xf>
    <xf numFmtId="164" fontId="4" fillId="0" borderId="0" xfId="18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18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3" fillId="2" borderId="1" xfId="18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165" fontId="4" fillId="0" borderId="0" xfId="16" applyNumberFormat="1" applyFont="1" applyAlignment="1">
      <alignment vertical="center"/>
    </xf>
    <xf numFmtId="165" fontId="4" fillId="0" borderId="0" xfId="16" applyNumberFormat="1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64" fontId="8" fillId="0" borderId="1" xfId="18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164" fontId="4" fillId="0" borderId="0" xfId="18" applyNumberFormat="1" applyFont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18" applyNumberFormat="1" applyFont="1" applyFill="1" applyBorder="1" applyAlignment="1">
      <alignment horizontal="center" vertical="center"/>
    </xf>
    <xf numFmtId="164" fontId="9" fillId="4" borderId="1" xfId="18" applyNumberFormat="1" applyFont="1" applyFill="1" applyBorder="1" applyAlignment="1">
      <alignment horizontal="center" vertical="center"/>
    </xf>
    <xf numFmtId="164" fontId="9" fillId="5" borderId="2" xfId="18" applyNumberFormat="1" applyFont="1" applyFill="1" applyBorder="1" applyAlignment="1">
      <alignment horizontal="center" vertical="center"/>
    </xf>
    <xf numFmtId="164" fontId="9" fillId="5" borderId="1" xfId="18" applyNumberFormat="1" applyFont="1" applyFill="1" applyBorder="1" applyAlignment="1">
      <alignment horizontal="center" vertical="center"/>
    </xf>
    <xf numFmtId="164" fontId="9" fillId="5" borderId="4" xfId="18" applyNumberFormat="1" applyFont="1" applyFill="1" applyBorder="1" applyAlignment="1">
      <alignment horizontal="center" vertical="center"/>
    </xf>
    <xf numFmtId="164" fontId="9" fillId="6" borderId="2" xfId="18" applyNumberFormat="1" applyFont="1" applyFill="1" applyBorder="1" applyAlignment="1">
      <alignment horizontal="center" vertical="center"/>
    </xf>
    <xf numFmtId="164" fontId="9" fillId="6" borderId="1" xfId="18" applyNumberFormat="1" applyFont="1" applyFill="1" applyBorder="1" applyAlignment="1">
      <alignment horizontal="center" vertical="center"/>
    </xf>
    <xf numFmtId="164" fontId="9" fillId="6" borderId="4" xfId="18" applyNumberFormat="1" applyFont="1" applyFill="1" applyBorder="1" applyAlignment="1">
      <alignment horizontal="center" vertical="center"/>
    </xf>
    <xf numFmtId="164" fontId="9" fillId="7" borderId="2" xfId="18" applyNumberFormat="1" applyFont="1" applyFill="1" applyBorder="1" applyAlignment="1">
      <alignment horizontal="center" vertical="center"/>
    </xf>
    <xf numFmtId="164" fontId="9" fillId="7" borderId="1" xfId="18" applyNumberFormat="1" applyFont="1" applyFill="1" applyBorder="1" applyAlignment="1">
      <alignment horizontal="center" vertical="center"/>
    </xf>
    <xf numFmtId="164" fontId="9" fillId="7" borderId="4" xfId="18" applyNumberFormat="1" applyFont="1" applyFill="1" applyBorder="1" applyAlignment="1">
      <alignment horizontal="center" vertical="center"/>
    </xf>
    <xf numFmtId="164" fontId="9" fillId="2" borderId="2" xfId="18" applyNumberFormat="1" applyFont="1" applyFill="1" applyBorder="1" applyAlignment="1">
      <alignment horizontal="center" vertical="center"/>
    </xf>
    <xf numFmtId="164" fontId="9" fillId="2" borderId="1" xfId="18" applyNumberFormat="1" applyFont="1" applyFill="1" applyBorder="1" applyAlignment="1">
      <alignment horizontal="center" vertical="center"/>
    </xf>
    <xf numFmtId="164" fontId="9" fillId="2" borderId="4" xfId="1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0" fillId="5" borderId="5" xfId="0" applyFill="1" applyBorder="1"/>
    <xf numFmtId="0" fontId="0" fillId="5" borderId="0" xfId="0" applyFill="1" applyBorder="1"/>
    <xf numFmtId="0" fontId="0" fillId="6" borderId="0" xfId="0" applyFill="1" applyBorder="1"/>
    <xf numFmtId="0" fontId="0" fillId="6" borderId="5" xfId="0" applyFill="1" applyBorder="1"/>
    <xf numFmtId="0" fontId="0" fillId="7" borderId="0" xfId="0" applyFill="1" applyBorder="1"/>
    <xf numFmtId="0" fontId="0" fillId="7" borderId="5" xfId="0" applyFill="1" applyBorder="1"/>
    <xf numFmtId="0" fontId="0" fillId="2" borderId="0" xfId="0" applyFill="1" applyBorder="1"/>
    <xf numFmtId="0" fontId="0" fillId="2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5" borderId="7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0" fillId="7" borderId="9" xfId="0" applyFill="1" applyBorder="1"/>
    <xf numFmtId="0" fontId="0" fillId="7" borderId="7" xfId="0" applyFill="1" applyBorder="1"/>
    <xf numFmtId="0" fontId="0" fillId="2" borderId="9" xfId="0" applyFill="1" applyBorder="1"/>
    <xf numFmtId="0" fontId="0" fillId="2" borderId="7" xfId="0" applyFill="1" applyBorder="1"/>
    <xf numFmtId="0" fontId="0" fillId="2" borderId="10" xfId="0" applyFill="1" applyBorder="1"/>
    <xf numFmtId="0" fontId="0" fillId="0" borderId="0" xfId="0" applyFill="1" applyBorder="1"/>
    <xf numFmtId="0" fontId="8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65" fontId="4" fillId="0" borderId="0" xfId="16" applyNumberFormat="1" applyFont="1"/>
    <xf numFmtId="0" fontId="4" fillId="0" borderId="1" xfId="0" applyFont="1" applyBorder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165" fontId="12" fillId="0" borderId="0" xfId="0" applyNumberFormat="1" applyFont="1"/>
    <xf numFmtId="0" fontId="13" fillId="0" borderId="0" xfId="0" applyFont="1"/>
    <xf numFmtId="0" fontId="12" fillId="0" borderId="0" xfId="0" applyFont="1" applyAlignment="1">
      <alignment horizontal="left"/>
    </xf>
    <xf numFmtId="0" fontId="1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/>
    </xf>
    <xf numFmtId="0" fontId="12" fillId="8" borderId="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164" fontId="11" fillId="3" borderId="3" xfId="18" applyNumberFormat="1" applyFont="1" applyFill="1" applyBorder="1" applyAlignment="1">
      <alignment horizontal="center"/>
    </xf>
    <xf numFmtId="164" fontId="11" fillId="3" borderId="1" xfId="18" applyNumberFormat="1" applyFont="1" applyFill="1" applyBorder="1" applyAlignment="1">
      <alignment horizontal="center"/>
    </xf>
    <xf numFmtId="0" fontId="0" fillId="0" borderId="0" xfId="0" applyFont="1" applyFill="1"/>
    <xf numFmtId="165" fontId="0" fillId="0" borderId="0" xfId="16" applyNumberFormat="1" applyFont="1" applyFill="1" applyBorder="1"/>
    <xf numFmtId="165" fontId="12" fillId="0" borderId="0" xfId="16" applyNumberFormat="1" applyFont="1" applyFill="1" applyBorder="1"/>
    <xf numFmtId="0" fontId="0" fillId="0" borderId="0" xfId="0" applyFont="1" applyAlignment="1">
      <alignment horizontal="left" indent="2"/>
    </xf>
    <xf numFmtId="44" fontId="0" fillId="0" borderId="0" xfId="0" applyNumberFormat="1" applyFont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18" applyNumberFormat="1" applyFont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164" fontId="17" fillId="0" borderId="0" xfId="18" applyNumberFormat="1" applyFont="1" applyAlignment="1">
      <alignment vertical="center"/>
    </xf>
    <xf numFmtId="164" fontId="17" fillId="2" borderId="1" xfId="18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164" fontId="17" fillId="0" borderId="1" xfId="18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64" fontId="19" fillId="0" borderId="0" xfId="18" applyNumberFormat="1" applyFont="1" applyAlignment="1">
      <alignment horizontal="right" vertical="center"/>
    </xf>
    <xf numFmtId="165" fontId="17" fillId="0" borderId="0" xfId="16" applyNumberFormat="1" applyFont="1" applyAlignment="1">
      <alignment vertical="center"/>
    </xf>
    <xf numFmtId="0" fontId="14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3" borderId="11" xfId="0" applyFont="1" applyFill="1" applyBorder="1" applyAlignment="1">
      <alignment horizontal="center"/>
    </xf>
    <xf numFmtId="0" fontId="20" fillId="3" borderId="11" xfId="0" applyFont="1" applyFill="1" applyBorder="1" applyAlignment="1">
      <alignment/>
    </xf>
    <xf numFmtId="0" fontId="14" fillId="8" borderId="1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/>
    </xf>
    <xf numFmtId="164" fontId="20" fillId="3" borderId="3" xfId="18" applyNumberFormat="1" applyFont="1" applyFill="1" applyBorder="1" applyAlignment="1">
      <alignment horizontal="center"/>
    </xf>
    <xf numFmtId="164" fontId="20" fillId="3" borderId="1" xfId="18" applyNumberFormat="1" applyFont="1" applyFill="1" applyBorder="1" applyAlignment="1">
      <alignment horizontal="center"/>
    </xf>
    <xf numFmtId="165" fontId="18" fillId="0" borderId="0" xfId="16" applyNumberFormat="1" applyFont="1" applyFill="1" applyBorder="1"/>
    <xf numFmtId="165" fontId="14" fillId="0" borderId="0" xfId="16" applyNumberFormat="1" applyFont="1" applyFill="1" applyBorder="1"/>
    <xf numFmtId="0" fontId="18" fillId="0" borderId="0" xfId="0" applyFont="1" applyAlignment="1">
      <alignment horizontal="left" indent="2"/>
    </xf>
    <xf numFmtId="0" fontId="18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/>
    <xf numFmtId="165" fontId="14" fillId="0" borderId="0" xfId="0" applyNumberFormat="1" applyFont="1"/>
    <xf numFmtId="0" fontId="21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0" fillId="7" borderId="2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4" fillId="0" borderId="0" xfId="18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64" fontId="3" fillId="8" borderId="2" xfId="18" applyNumberFormat="1" applyFont="1" applyFill="1" applyBorder="1" applyAlignment="1">
      <alignment horizontal="center" vertical="center"/>
    </xf>
    <xf numFmtId="164" fontId="3" fillId="8" borderId="4" xfId="18" applyNumberFormat="1" applyFont="1" applyFill="1" applyBorder="1" applyAlignment="1">
      <alignment horizontal="center" vertical="center"/>
    </xf>
    <xf numFmtId="164" fontId="3" fillId="8" borderId="3" xfId="18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1" fontId="11" fillId="8" borderId="4" xfId="18" applyNumberFormat="1" applyFont="1" applyFill="1" applyBorder="1" applyAlignment="1">
      <alignment horizontal="center"/>
    </xf>
    <xf numFmtId="1" fontId="11" fillId="8" borderId="3" xfId="18" applyNumberFormat="1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 wrapText="1"/>
    </xf>
    <xf numFmtId="0" fontId="20" fillId="3" borderId="8" xfId="0" applyFont="1" applyFill="1" applyBorder="1" applyAlignment="1">
      <alignment horizontal="center" wrapText="1"/>
    </xf>
    <xf numFmtId="1" fontId="20" fillId="8" borderId="4" xfId="18" applyNumberFormat="1" applyFont="1" applyFill="1" applyBorder="1" applyAlignment="1">
      <alignment horizontal="center"/>
    </xf>
    <xf numFmtId="1" fontId="20" fillId="8" borderId="3" xfId="18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icer\AppData\Local\Temp\MicrosoftEdgeDownloads\b9c2ba38-4faf-4bd2-a3d4-ac424a19ddad\0336BudgetSummary5yrForecas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_Old\BUDGET\2023%20Budget\3%25%20Nonun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verall%20amendme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6BudgetSummary5yrForecast"/>
    </sheetNames>
    <sheetDataSet>
      <sheetData sheetId="0">
        <row r="7">
          <cell r="H7">
            <v>232425.72232</v>
          </cell>
        </row>
        <row r="10">
          <cell r="H10">
            <v>3918.790995</v>
          </cell>
        </row>
        <row r="11">
          <cell r="H11">
            <v>22360.251893</v>
          </cell>
        </row>
        <row r="40">
          <cell r="H40">
            <v>71650.25792</v>
          </cell>
        </row>
        <row r="44">
          <cell r="H44">
            <v>837.256132</v>
          </cell>
        </row>
        <row r="45">
          <cell r="H45">
            <v>5293.907706</v>
          </cell>
        </row>
        <row r="58">
          <cell r="H58">
            <v>33797.881104</v>
          </cell>
        </row>
        <row r="61">
          <cell r="H61">
            <v>655.68833</v>
          </cell>
        </row>
        <row r="62">
          <cell r="H62">
            <v>2585.537904</v>
          </cell>
        </row>
        <row r="73">
          <cell r="H73">
            <v>92764.932832</v>
          </cell>
        </row>
        <row r="76">
          <cell r="H76">
            <v>1875.411567</v>
          </cell>
        </row>
        <row r="77">
          <cell r="H77">
            <v>7096.517358</v>
          </cell>
        </row>
        <row r="92">
          <cell r="H92">
            <v>37419.2</v>
          </cell>
        </row>
        <row r="96">
          <cell r="H96">
            <v>859.254211</v>
          </cell>
        </row>
        <row r="97">
          <cell r="H97">
            <v>129012.5688</v>
          </cell>
        </row>
        <row r="106">
          <cell r="H106">
            <v>431281.67732</v>
          </cell>
        </row>
        <row r="109">
          <cell r="H109">
            <v>9743.475591</v>
          </cell>
        </row>
        <row r="110">
          <cell r="H110">
            <v>32993.048319</v>
          </cell>
        </row>
        <row r="124">
          <cell r="H124">
            <v>1207620.96208</v>
          </cell>
        </row>
        <row r="127">
          <cell r="H127">
            <v>25389.826716</v>
          </cell>
        </row>
        <row r="128">
          <cell r="H128">
            <v>93683.503593</v>
          </cell>
        </row>
        <row r="146">
          <cell r="H146">
            <v>834376.37712</v>
          </cell>
        </row>
        <row r="149">
          <cell r="H149">
            <v>17815.987324</v>
          </cell>
        </row>
        <row r="150">
          <cell r="H150">
            <v>63829.792851</v>
          </cell>
        </row>
        <row r="163">
          <cell r="H163">
            <v>3474769.66096</v>
          </cell>
        </row>
        <row r="166">
          <cell r="H166">
            <v>81795.34047</v>
          </cell>
        </row>
        <row r="167">
          <cell r="H167">
            <v>265819.879063</v>
          </cell>
        </row>
        <row r="194">
          <cell r="H194">
            <v>49836.29456</v>
          </cell>
        </row>
        <row r="197">
          <cell r="H197">
            <v>1000.758155</v>
          </cell>
        </row>
        <row r="198">
          <cell r="H198">
            <v>3812.476534</v>
          </cell>
        </row>
        <row r="217">
          <cell r="H217">
            <v>1249184.29456</v>
          </cell>
        </row>
        <row r="220">
          <cell r="H220">
            <v>8540.253003</v>
          </cell>
        </row>
        <row r="221">
          <cell r="H221">
            <v>52159.614286</v>
          </cell>
        </row>
        <row r="248">
          <cell r="H248">
            <v>1515157.3051</v>
          </cell>
        </row>
        <row r="251">
          <cell r="H251">
            <v>28121.084704</v>
          </cell>
        </row>
        <row r="252">
          <cell r="H252">
            <v>115909.533837</v>
          </cell>
        </row>
        <row r="276">
          <cell r="H276">
            <v>178214.91096</v>
          </cell>
        </row>
        <row r="279">
          <cell r="H279">
            <v>1621.397793</v>
          </cell>
        </row>
        <row r="280">
          <cell r="H280">
            <v>5340.538514</v>
          </cell>
        </row>
        <row r="297">
          <cell r="H297">
            <v>2169432.88368</v>
          </cell>
        </row>
        <row r="300">
          <cell r="H300">
            <v>41560.736667</v>
          </cell>
        </row>
        <row r="301">
          <cell r="H301">
            <v>165961.619655</v>
          </cell>
        </row>
        <row r="310">
          <cell r="H310">
            <v>2286275.04144</v>
          </cell>
        </row>
        <row r="314">
          <cell r="H314">
            <v>50350.324872</v>
          </cell>
        </row>
        <row r="315">
          <cell r="H315">
            <v>201908.070666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Year Plan"/>
      <sheetName val="5 Year Plan (2)"/>
      <sheetName val="5 Year Plan (3)"/>
      <sheetName val="Sheet4"/>
      <sheetName val="5 Year Plan (4)"/>
    </sheetNames>
    <sheetDataSet>
      <sheetData sheetId="0"/>
      <sheetData sheetId="1"/>
      <sheetData sheetId="2">
        <row r="48">
          <cell r="D48">
            <v>-9719065.92</v>
          </cell>
          <cell r="E48">
            <v>-11076412.139999999</v>
          </cell>
          <cell r="F48">
            <v>-12545121.600000001</v>
          </cell>
          <cell r="G48">
            <v>-12846770.8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Op1"/>
      <sheetName val="Op2"/>
      <sheetName val="Op3"/>
      <sheetName val="Op4"/>
      <sheetName val="Op5"/>
      <sheetName val="Op6"/>
      <sheetName val="Op7"/>
      <sheetName val="Op8"/>
      <sheetName val="Op9"/>
      <sheetName val="Cap"/>
      <sheetName val="Position Calculator"/>
      <sheetName val="Sheet6"/>
      <sheetName val="Salary Scale"/>
      <sheetName val="Position Calculato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51211</v>
          </cell>
        </row>
      </sheetData>
      <sheetData sheetId="12">
        <row r="6">
          <cell r="B6">
            <v>6488</v>
          </cell>
        </row>
        <row r="16">
          <cell r="B16">
            <v>3285.2034084</v>
          </cell>
        </row>
        <row r="17">
          <cell r="B17">
            <v>6436.344</v>
          </cell>
        </row>
        <row r="18">
          <cell r="C18">
            <v>19235.667956568</v>
          </cell>
          <cell r="D18">
            <v>19984.392099699362</v>
          </cell>
          <cell r="E18">
            <v>20769.968442173347</v>
          </cell>
          <cell r="F18">
            <v>21595.072559816817</v>
          </cell>
        </row>
        <row r="39">
          <cell r="B39">
            <v>3.8671200000000003</v>
          </cell>
        </row>
        <row r="43">
          <cell r="B43">
            <v>16.628615999999997</v>
          </cell>
        </row>
        <row r="44">
          <cell r="B44">
            <v>74.44206</v>
          </cell>
        </row>
        <row r="45">
          <cell r="B45">
            <v>155.75900000000001</v>
          </cell>
        </row>
        <row r="46">
          <cell r="B46">
            <v>666.004</v>
          </cell>
        </row>
        <row r="48">
          <cell r="C48">
            <v>1026.060951588</v>
          </cell>
          <cell r="D48">
            <v>1046.58217061976</v>
          </cell>
          <cell r="E48">
            <v>1067.513814032155</v>
          </cell>
          <cell r="F48">
            <v>1088.8640903127985</v>
          </cell>
        </row>
      </sheetData>
      <sheetData sheetId="13"/>
      <sheetData sheetId="14">
        <row r="16">
          <cell r="E16">
            <v>47822</v>
          </cell>
        </row>
        <row r="53">
          <cell r="G53">
            <v>44768.647058823524</v>
          </cell>
        </row>
        <row r="58">
          <cell r="G58">
            <v>54259.794117647056</v>
          </cell>
        </row>
        <row r="59">
          <cell r="G59">
            <v>56652.01960784314</v>
          </cell>
        </row>
        <row r="66">
          <cell r="F66">
            <v>72627.11764705883</v>
          </cell>
        </row>
        <row r="73">
          <cell r="F73">
            <v>96543.3137254902</v>
          </cell>
        </row>
      </sheetData>
      <sheetData sheetId="15">
        <row r="38">
          <cell r="C38">
            <v>3122.8727999999996</v>
          </cell>
          <cell r="D38">
            <v>3185.3302559999997</v>
          </cell>
          <cell r="E38">
            <v>3249.0368611199997</v>
          </cell>
          <cell r="F38">
            <v>3314.0175983423997</v>
          </cell>
        </row>
        <row r="48">
          <cell r="C48">
            <v>292.44360936695995</v>
          </cell>
          <cell r="D48">
            <v>298.2924815542992</v>
          </cell>
          <cell r="E48">
            <v>304.25833118538515</v>
          </cell>
          <cell r="F48">
            <v>310.34349780909287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3"/>
  <sheetViews>
    <sheetView tabSelected="1" workbookViewId="0" topLeftCell="A1">
      <selection activeCell="E2" sqref="E2"/>
    </sheetView>
  </sheetViews>
  <sheetFormatPr defaultColWidth="9.140625" defaultRowHeight="15"/>
  <cols>
    <col min="3" max="3" width="10.7109375" style="0" bestFit="1" customWidth="1"/>
    <col min="4" max="4" width="10.7109375" style="0" customWidth="1"/>
    <col min="5" max="5" width="75.28125" style="0" bestFit="1" customWidth="1"/>
    <col min="6" max="8" width="15.7109375" style="0" customWidth="1"/>
    <col min="11" max="11" width="11.57421875" style="0" bestFit="1" customWidth="1"/>
    <col min="12" max="12" width="12.7109375" style="0" hidden="1" customWidth="1"/>
    <col min="13" max="13" width="11.28125" style="0" hidden="1" customWidth="1"/>
    <col min="14" max="14" width="12.7109375" style="0" hidden="1" customWidth="1"/>
    <col min="15" max="15" width="12.00390625" style="0" hidden="1" customWidth="1"/>
    <col min="16" max="17" width="10.57421875" style="0" hidden="1" customWidth="1"/>
    <col min="18" max="21" width="9.140625" style="0" hidden="1" customWidth="1"/>
  </cols>
  <sheetData>
    <row r="1" ht="17.5">
      <c r="A1" s="1" t="s">
        <v>118</v>
      </c>
    </row>
    <row r="2" ht="15">
      <c r="A2" t="s">
        <v>0</v>
      </c>
    </row>
    <row r="4" spans="1:17" ht="15.5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  <c r="M4">
        <v>2023</v>
      </c>
      <c r="N4">
        <v>2024</v>
      </c>
      <c r="O4">
        <v>2025</v>
      </c>
      <c r="P4">
        <v>2026</v>
      </c>
      <c r="Q4">
        <v>2027</v>
      </c>
    </row>
    <row r="5" spans="1:17" ht="15.5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  <c r="L5" t="s">
        <v>12</v>
      </c>
      <c r="M5" s="95">
        <f>H9</f>
        <v>462681</v>
      </c>
      <c r="N5" s="97">
        <f>H14+H15</f>
        <v>1448933</v>
      </c>
      <c r="O5" s="97">
        <f>H16+H17</f>
        <v>2453009</v>
      </c>
      <c r="P5" s="97">
        <f>H18+H19</f>
        <v>3481567</v>
      </c>
      <c r="Q5" s="97">
        <f>H20+H21</f>
        <v>3550193</v>
      </c>
    </row>
    <row r="6" spans="1:17" ht="15.5">
      <c r="A6" s="7"/>
      <c r="B6" s="8" t="s">
        <v>12</v>
      </c>
      <c r="C6" s="7">
        <v>51101</v>
      </c>
      <c r="D6" s="7" t="s">
        <v>13</v>
      </c>
      <c r="E6" s="8" t="s">
        <v>14</v>
      </c>
      <c r="F6" s="9">
        <v>226151872</v>
      </c>
      <c r="G6" s="9">
        <v>226576452</v>
      </c>
      <c r="H6" s="9">
        <f>G6-F6</f>
        <v>424580</v>
      </c>
      <c r="L6" t="s">
        <v>109</v>
      </c>
      <c r="M6" s="97">
        <f>H32+H52+H74+H95+H116+H137+H159+H167+H184</f>
        <v>-1578590.8406073002</v>
      </c>
      <c r="N6" s="97">
        <f>H36+H37+H56+H57+H78+H79+H99+H100+H120+H121+H141+H142+H171+H172+H188</f>
        <v>-1146153.7807404585</v>
      </c>
      <c r="O6" s="97">
        <f>H38+H39+H58+H59+H80+H81+H101+H102+H122+H123+H143+H144+H173+H174+H189</f>
        <v>-1680667.477932578</v>
      </c>
      <c r="P6" s="97">
        <f>H40+H41+H60+H61+H82+H83+H103+H104+H124+H125+H145+H146+H175+H176+H190</f>
        <v>-1697367.9354950844</v>
      </c>
      <c r="Q6" s="97">
        <f>H42+H43+H62+H63+H84+H85+H105+H106+H126+H127+H147+H148+H177+H178+H191</f>
        <v>-712077.635769624</v>
      </c>
    </row>
    <row r="7" spans="1:17" ht="15.5">
      <c r="A7" s="7"/>
      <c r="B7" s="8" t="s">
        <v>12</v>
      </c>
      <c r="C7" s="7">
        <v>52201</v>
      </c>
      <c r="D7" s="7" t="s">
        <v>13</v>
      </c>
      <c r="E7" s="8" t="s">
        <v>15</v>
      </c>
      <c r="F7" s="9">
        <v>11297037</v>
      </c>
      <c r="G7" s="9">
        <v>11328188</v>
      </c>
      <c r="H7" s="9">
        <f aca="true" t="shared" si="0" ref="H7:H8">G7-F7</f>
        <v>31151</v>
      </c>
      <c r="L7" t="s">
        <v>110</v>
      </c>
      <c r="M7">
        <f>Op3!G17</f>
        <v>26264.05686274512</v>
      </c>
      <c r="N7">
        <f>Op3!G22+Op3!G23</f>
        <v>25521.360951588023</v>
      </c>
      <c r="O7">
        <f>Op3!G24+Op3!G25</f>
        <v>26031.78817061975</v>
      </c>
      <c r="P7">
        <f>Op3!G26+Op3!G27</f>
        <v>26552.423934032035</v>
      </c>
      <c r="Q7">
        <f>Op3!G28+Op3!G29</f>
        <v>27083.472412712697</v>
      </c>
    </row>
    <row r="8" spans="1:17" ht="15.5">
      <c r="A8" s="7"/>
      <c r="B8" s="8" t="s">
        <v>12</v>
      </c>
      <c r="C8" s="7">
        <v>52111</v>
      </c>
      <c r="D8" s="7" t="s">
        <v>13</v>
      </c>
      <c r="E8" s="8" t="s">
        <v>16</v>
      </c>
      <c r="F8" s="9">
        <v>3456812</v>
      </c>
      <c r="G8" s="9">
        <v>3463762</v>
      </c>
      <c r="H8" s="9">
        <f t="shared" si="0"/>
        <v>6950</v>
      </c>
      <c r="L8" t="s">
        <v>111</v>
      </c>
      <c r="M8">
        <f>Op5!G9</f>
        <v>11814.753913647062</v>
      </c>
      <c r="N8">
        <f>Op5!G14+Op5!G15</f>
        <v>13008.961903175805</v>
      </c>
      <c r="O8">
        <f>Op5!G16+Op5!G17</f>
        <v>13269.14114124002</v>
      </c>
      <c r="P8">
        <f>Op5!G18+Op5!G19</f>
        <v>13534.523964064196</v>
      </c>
      <c r="Q8">
        <f>Op5!G20+Op5!G21</f>
        <v>13805.214443345554</v>
      </c>
    </row>
    <row r="9" spans="1:17" ht="15.5">
      <c r="A9" s="4"/>
      <c r="B9" s="4"/>
      <c r="C9" s="4"/>
      <c r="D9" s="10"/>
      <c r="E9" s="4"/>
      <c r="F9" s="5"/>
      <c r="G9" s="11" t="s">
        <v>17</v>
      </c>
      <c r="H9" s="93">
        <f>SUM(H6:H8)</f>
        <v>462681</v>
      </c>
      <c r="L9" t="s">
        <v>115</v>
      </c>
      <c r="M9">
        <f>Op6!G9</f>
        <v>64031.547408399994</v>
      </c>
      <c r="N9">
        <f>Op6!G14+Op6!G15</f>
        <v>68014.10795656795</v>
      </c>
      <c r="O9">
        <f>Op6!G16+Op6!G17</f>
        <v>69738.4008996993</v>
      </c>
      <c r="P9">
        <f>Op6!G18+Op6!G19</f>
        <v>71519.05741817332</v>
      </c>
      <c r="Q9">
        <f>Op6!G20+Op6!G21</f>
        <v>73359.14331533684</v>
      </c>
    </row>
    <row r="11" spans="13:17" ht="15">
      <c r="M11">
        <v>2023</v>
      </c>
      <c r="N11">
        <v>2024</v>
      </c>
      <c r="O11">
        <v>2025</v>
      </c>
      <c r="P11">
        <v>2026</v>
      </c>
      <c r="Q11">
        <v>2027</v>
      </c>
    </row>
    <row r="12" spans="1:17" ht="15.5">
      <c r="A12" s="13" t="s">
        <v>1</v>
      </c>
      <c r="B12" s="14"/>
      <c r="C12" s="15"/>
      <c r="D12" s="16"/>
      <c r="E12" s="17"/>
      <c r="F12" s="15"/>
      <c r="G12" s="15"/>
      <c r="H12" s="17"/>
      <c r="L12" t="s">
        <v>12</v>
      </c>
      <c r="M12" s="95">
        <f>M5</f>
        <v>462681</v>
      </c>
      <c r="N12" s="95">
        <f aca="true" t="shared" si="1" ref="N12:Q12">N5</f>
        <v>1448933</v>
      </c>
      <c r="O12" s="95">
        <f t="shared" si="1"/>
        <v>2453009</v>
      </c>
      <c r="P12" s="95">
        <f t="shared" si="1"/>
        <v>3481567</v>
      </c>
      <c r="Q12" s="95">
        <f t="shared" si="1"/>
        <v>3550193</v>
      </c>
    </row>
    <row r="13" spans="1:17" ht="15">
      <c r="A13" s="13" t="s">
        <v>4</v>
      </c>
      <c r="B13" s="18" t="s">
        <v>19</v>
      </c>
      <c r="C13" s="18" t="s">
        <v>20</v>
      </c>
      <c r="D13" s="18" t="s">
        <v>21</v>
      </c>
      <c r="E13" s="19"/>
      <c r="F13" s="19" t="s">
        <v>9</v>
      </c>
      <c r="G13" s="13" t="s">
        <v>10</v>
      </c>
      <c r="H13" s="13" t="s">
        <v>22</v>
      </c>
      <c r="L13" t="s">
        <v>109</v>
      </c>
      <c r="M13" s="97">
        <f>H32+H52+H74+H95+H116+H137+H159+H167+H184</f>
        <v>-1578590.8406073002</v>
      </c>
      <c r="N13" s="97">
        <f>H36+H37+H56+H57+H78+H79+H99+H100+H120+H121+H141+H142+H171+H172+H188</f>
        <v>-1146153.7807404585</v>
      </c>
      <c r="O13" s="97">
        <f>H38+H39+H58+H59+H80+H81+H101+H102+H122+H123+H143+H144+H173+H174+H189</f>
        <v>-1680667.477932578</v>
      </c>
      <c r="P13" s="97">
        <f>H40+H41+H60+H61+H82+H83+H103+H104+H124+H125+H145+H146+H175+H176+H190</f>
        <v>-1697367.9354950844</v>
      </c>
      <c r="Q13" s="97">
        <f>H42+H43+H62+H63+H84+H85+H105+H106+H126+H127+H147+H148+H177+H178+H191</f>
        <v>-712077.635769624</v>
      </c>
    </row>
    <row r="14" spans="1:17" ht="15.5">
      <c r="A14" s="20"/>
      <c r="B14" s="20">
        <v>2024</v>
      </c>
      <c r="C14" s="20" t="s">
        <v>13</v>
      </c>
      <c r="D14" s="21" t="s">
        <v>23</v>
      </c>
      <c r="E14" s="22"/>
      <c r="F14" s="23">
        <v>282104422</v>
      </c>
      <c r="G14" s="23">
        <v>283434043</v>
      </c>
      <c r="H14" s="23">
        <f>G14-F14</f>
        <v>1329621</v>
      </c>
      <c r="L14" t="s">
        <v>110</v>
      </c>
      <c r="M14">
        <f>M7</f>
        <v>26264.05686274512</v>
      </c>
      <c r="N14">
        <f aca="true" t="shared" si="2" ref="N14:Q14">N7</f>
        <v>25521.360951588023</v>
      </c>
      <c r="O14">
        <f t="shared" si="2"/>
        <v>26031.78817061975</v>
      </c>
      <c r="P14">
        <f t="shared" si="2"/>
        <v>26552.423934032035</v>
      </c>
      <c r="Q14">
        <f t="shared" si="2"/>
        <v>27083.472412712697</v>
      </c>
    </row>
    <row r="15" spans="1:17" ht="15.5">
      <c r="A15" s="20"/>
      <c r="B15" s="20">
        <v>2024</v>
      </c>
      <c r="C15" s="20" t="s">
        <v>13</v>
      </c>
      <c r="D15" s="21" t="s">
        <v>24</v>
      </c>
      <c r="E15" s="22"/>
      <c r="F15" s="23">
        <v>216011231</v>
      </c>
      <c r="G15" s="23">
        <v>216130543</v>
      </c>
      <c r="H15" s="23">
        <f aca="true" t="shared" si="3" ref="H15:H21">G15-F15</f>
        <v>119312</v>
      </c>
      <c r="L15" t="s">
        <v>111</v>
      </c>
      <c r="M15">
        <f>M8</f>
        <v>11814.753913647062</v>
      </c>
      <c r="N15">
        <f aca="true" t="shared" si="4" ref="N15:Q15">N8</f>
        <v>13008.961903175805</v>
      </c>
      <c r="O15">
        <f t="shared" si="4"/>
        <v>13269.14114124002</v>
      </c>
      <c r="P15">
        <f t="shared" si="4"/>
        <v>13534.523964064196</v>
      </c>
      <c r="Q15">
        <f t="shared" si="4"/>
        <v>13805.214443345554</v>
      </c>
    </row>
    <row r="16" spans="1:8" ht="15.5">
      <c r="A16" s="20"/>
      <c r="B16" s="20">
        <v>2025</v>
      </c>
      <c r="C16" s="20" t="s">
        <v>13</v>
      </c>
      <c r="D16" s="21" t="s">
        <v>23</v>
      </c>
      <c r="E16" s="22"/>
      <c r="F16" s="23">
        <v>286127999</v>
      </c>
      <c r="G16" s="23">
        <v>288379225</v>
      </c>
      <c r="H16" s="23">
        <f t="shared" si="3"/>
        <v>2251226</v>
      </c>
    </row>
    <row r="17" spans="1:8" ht="15.5">
      <c r="A17" s="20"/>
      <c r="B17" s="20">
        <v>2025</v>
      </c>
      <c r="C17" s="20" t="s">
        <v>13</v>
      </c>
      <c r="D17" s="21" t="s">
        <v>24</v>
      </c>
      <c r="E17" s="22"/>
      <c r="F17" s="23">
        <v>221351988</v>
      </c>
      <c r="G17" s="23">
        <v>221553771</v>
      </c>
      <c r="H17" s="23">
        <f t="shared" si="3"/>
        <v>201783</v>
      </c>
    </row>
    <row r="18" spans="1:8" ht="15.5">
      <c r="A18" s="20"/>
      <c r="B18" s="20">
        <v>2026</v>
      </c>
      <c r="C18" s="20" t="s">
        <v>13</v>
      </c>
      <c r="D18" s="21" t="s">
        <v>23</v>
      </c>
      <c r="E18" s="22"/>
      <c r="F18" s="23">
        <v>290528492</v>
      </c>
      <c r="G18" s="23">
        <v>293723864</v>
      </c>
      <c r="H18" s="23">
        <f t="shared" si="3"/>
        <v>3195372</v>
      </c>
    </row>
    <row r="19" spans="1:8" ht="15.5">
      <c r="A19" s="20"/>
      <c r="B19" s="20">
        <v>2026</v>
      </c>
      <c r="C19" s="20" t="s">
        <v>13</v>
      </c>
      <c r="D19" s="21" t="s">
        <v>24</v>
      </c>
      <c r="E19" s="22"/>
      <c r="F19" s="23">
        <v>226981780</v>
      </c>
      <c r="G19" s="23">
        <v>227267975</v>
      </c>
      <c r="H19" s="23">
        <f t="shared" si="3"/>
        <v>286195</v>
      </c>
    </row>
    <row r="20" spans="1:8" ht="15.5">
      <c r="A20" s="20"/>
      <c r="B20" s="20">
        <v>2027</v>
      </c>
      <c r="C20" s="20" t="s">
        <v>13</v>
      </c>
      <c r="D20" s="21" t="s">
        <v>23</v>
      </c>
      <c r="E20" s="22"/>
      <c r="F20" s="23">
        <v>296018497</v>
      </c>
      <c r="G20" s="23">
        <v>299276760</v>
      </c>
      <c r="H20" s="23">
        <f t="shared" si="3"/>
        <v>3258263</v>
      </c>
    </row>
    <row r="21" spans="1:8" ht="15.5">
      <c r="A21" s="20"/>
      <c r="B21" s="20">
        <v>2027</v>
      </c>
      <c r="C21" s="20" t="s">
        <v>13</v>
      </c>
      <c r="D21" s="21" t="s">
        <v>24</v>
      </c>
      <c r="E21" s="22"/>
      <c r="F21" s="23">
        <v>231958013</v>
      </c>
      <c r="G21" s="23">
        <v>232249943</v>
      </c>
      <c r="H21" s="23">
        <f t="shared" si="3"/>
        <v>291930</v>
      </c>
    </row>
    <row r="22" spans="1:8" ht="15.5">
      <c r="A22" s="15"/>
      <c r="B22" s="14"/>
      <c r="C22" s="15"/>
      <c r="D22" s="15"/>
      <c r="E22" s="16"/>
      <c r="F22" s="16"/>
      <c r="G22" s="27" t="s">
        <v>25</v>
      </c>
      <c r="H22" s="48">
        <f>SUM(H14:H21)</f>
        <v>10933702</v>
      </c>
    </row>
    <row r="23" spans="1:8" ht="15.5">
      <c r="A23" s="24"/>
      <c r="B23" s="24"/>
      <c r="C23" s="24"/>
      <c r="D23" s="25"/>
      <c r="E23" s="25"/>
      <c r="F23" s="26"/>
      <c r="G23" s="26"/>
      <c r="H23" s="26"/>
    </row>
    <row r="24" spans="1:8" ht="15.5">
      <c r="A24" s="24"/>
      <c r="B24" s="24"/>
      <c r="C24" s="24"/>
      <c r="D24" s="25"/>
      <c r="E24" s="25"/>
      <c r="F24" s="26"/>
      <c r="G24" s="26"/>
      <c r="H24" s="26"/>
    </row>
    <row r="25" spans="1:8" ht="15.5">
      <c r="A25" s="24"/>
      <c r="B25" s="24"/>
      <c r="C25" s="24"/>
      <c r="D25" s="25"/>
      <c r="E25" s="25"/>
      <c r="F25" s="26"/>
      <c r="G25" s="26"/>
      <c r="H25" s="26"/>
    </row>
    <row r="26" spans="1:8" ht="15.5">
      <c r="A26" s="91" t="s">
        <v>1</v>
      </c>
      <c r="B26" s="92" t="s">
        <v>2</v>
      </c>
      <c r="C26" s="92" t="s">
        <v>3</v>
      </c>
      <c r="D26" s="91"/>
      <c r="E26" s="4"/>
      <c r="F26" s="5"/>
      <c r="G26" s="5"/>
      <c r="H26" s="5"/>
    </row>
    <row r="27" spans="1:8" ht="15.5">
      <c r="A27" s="91" t="s">
        <v>4</v>
      </c>
      <c r="B27" s="92" t="s">
        <v>5</v>
      </c>
      <c r="C27" s="92" t="s">
        <v>6</v>
      </c>
      <c r="D27" s="91" t="s">
        <v>7</v>
      </c>
      <c r="E27" s="92" t="s">
        <v>8</v>
      </c>
      <c r="F27" s="6" t="s">
        <v>9</v>
      </c>
      <c r="G27" s="6" t="s">
        <v>10</v>
      </c>
      <c r="H27" s="6" t="s">
        <v>11</v>
      </c>
    </row>
    <row r="28" spans="1:8" ht="15.5">
      <c r="A28" s="7">
        <v>68</v>
      </c>
      <c r="B28" s="8" t="s">
        <v>5</v>
      </c>
      <c r="C28" s="7">
        <v>51101</v>
      </c>
      <c r="D28" s="7" t="s">
        <v>88</v>
      </c>
      <c r="E28" s="94" t="s">
        <v>93</v>
      </c>
      <c r="F28" s="9">
        <v>39873.39</v>
      </c>
      <c r="G28" s="9">
        <v>0</v>
      </c>
      <c r="H28" s="9">
        <f>G28-F28</f>
        <v>-39873.39</v>
      </c>
    </row>
    <row r="29" spans="1:8" ht="15.5">
      <c r="A29" s="7">
        <v>68</v>
      </c>
      <c r="B29" s="8" t="s">
        <v>5</v>
      </c>
      <c r="C29" s="7">
        <v>52101</v>
      </c>
      <c r="D29" s="7" t="s">
        <v>88</v>
      </c>
      <c r="E29" s="8" t="s">
        <v>71</v>
      </c>
      <c r="F29" s="9">
        <v>8654.16</v>
      </c>
      <c r="G29" s="9">
        <v>0</v>
      </c>
      <c r="H29" s="9">
        <f aca="true" t="shared" si="5" ref="H29:H31">G29-F29</f>
        <v>-8654.16</v>
      </c>
    </row>
    <row r="30" spans="1:8" ht="15.5">
      <c r="A30" s="7">
        <v>68</v>
      </c>
      <c r="B30" s="8" t="s">
        <v>5</v>
      </c>
      <c r="C30" s="7">
        <v>52111</v>
      </c>
      <c r="D30" s="7" t="s">
        <v>88</v>
      </c>
      <c r="E30" s="8" t="s">
        <v>87</v>
      </c>
      <c r="F30" s="9">
        <v>1261.8089961</v>
      </c>
      <c r="G30" s="9">
        <v>0</v>
      </c>
      <c r="H30" s="9">
        <f t="shared" si="5"/>
        <v>-1261.8089961</v>
      </c>
    </row>
    <row r="31" spans="1:8" ht="15.5">
      <c r="A31" s="7">
        <v>68</v>
      </c>
      <c r="B31" s="8" t="s">
        <v>5</v>
      </c>
      <c r="C31" s="7">
        <v>52201</v>
      </c>
      <c r="D31" s="7" t="s">
        <v>88</v>
      </c>
      <c r="E31" s="8" t="s">
        <v>51</v>
      </c>
      <c r="F31" s="9">
        <v>3050.314335</v>
      </c>
      <c r="G31" s="9">
        <v>0</v>
      </c>
      <c r="H31" s="9">
        <f t="shared" si="5"/>
        <v>-3050.314335</v>
      </c>
    </row>
    <row r="32" spans="1:14" ht="15.5">
      <c r="A32" s="4"/>
      <c r="B32" s="4"/>
      <c r="C32" s="4"/>
      <c r="D32" s="10"/>
      <c r="E32" s="4"/>
      <c r="F32" s="5"/>
      <c r="G32" s="11" t="s">
        <v>17</v>
      </c>
      <c r="H32" s="93">
        <f>SUM(H28:H31)</f>
        <v>-52839.673331100006</v>
      </c>
      <c r="K32" s="95"/>
      <c r="L32" s="96"/>
      <c r="M32" s="96"/>
      <c r="N32" s="96"/>
    </row>
    <row r="33" spans="1:8" ht="15.5">
      <c r="A33" s="24"/>
      <c r="B33" s="24"/>
      <c r="C33" s="24"/>
      <c r="D33" s="25"/>
      <c r="E33" s="25"/>
      <c r="F33" s="26"/>
      <c r="G33" s="26"/>
      <c r="H33" s="26"/>
    </row>
    <row r="34" spans="1:14" ht="15.5">
      <c r="A34" s="13" t="s">
        <v>1</v>
      </c>
      <c r="B34" s="14"/>
      <c r="C34" s="15"/>
      <c r="D34" s="16"/>
      <c r="E34" s="17"/>
      <c r="F34" s="15"/>
      <c r="G34" s="15"/>
      <c r="H34" s="17"/>
      <c r="K34" s="95"/>
      <c r="L34" s="95"/>
      <c r="M34" s="95"/>
      <c r="N34" s="95"/>
    </row>
    <row r="35" spans="1:8" ht="15">
      <c r="A35" s="13" t="s">
        <v>4</v>
      </c>
      <c r="B35" s="18" t="s">
        <v>19</v>
      </c>
      <c r="C35" s="18" t="s">
        <v>20</v>
      </c>
      <c r="D35" s="18" t="s">
        <v>21</v>
      </c>
      <c r="E35" s="19"/>
      <c r="F35" s="19" t="s">
        <v>9</v>
      </c>
      <c r="G35" s="13" t="s">
        <v>10</v>
      </c>
      <c r="H35" s="13" t="s">
        <v>22</v>
      </c>
    </row>
    <row r="36" spans="1:8" ht="15.5">
      <c r="A36" s="20">
        <v>71</v>
      </c>
      <c r="B36" s="20">
        <v>2024</v>
      </c>
      <c r="C36" s="20" t="s">
        <v>88</v>
      </c>
      <c r="D36" s="21" t="s">
        <v>94</v>
      </c>
      <c r="E36" s="22"/>
      <c r="F36" s="23">
        <v>3605150</v>
      </c>
      <c r="G36" s="23">
        <v>3564479.54</v>
      </c>
      <c r="H36" s="23">
        <f>G36-F36</f>
        <v>-40670.45999999996</v>
      </c>
    </row>
    <row r="37" spans="1:8" ht="15.5">
      <c r="A37" s="20">
        <v>71</v>
      </c>
      <c r="B37" s="20">
        <v>2024</v>
      </c>
      <c r="C37" s="20" t="s">
        <v>88</v>
      </c>
      <c r="D37" s="21" t="s">
        <v>54</v>
      </c>
      <c r="E37" s="22"/>
      <c r="F37" s="23">
        <v>1018623</v>
      </c>
      <c r="G37" s="23">
        <v>1005494.696703978</v>
      </c>
      <c r="H37" s="23">
        <f aca="true" t="shared" si="6" ref="H37:H43">G37-F37</f>
        <v>-13128.303296022</v>
      </c>
    </row>
    <row r="38" spans="1:8" ht="15.5">
      <c r="A38" s="20">
        <v>71</v>
      </c>
      <c r="B38" s="20">
        <v>2025</v>
      </c>
      <c r="C38" s="20" t="s">
        <v>88</v>
      </c>
      <c r="D38" s="21" t="s">
        <v>53</v>
      </c>
      <c r="E38" s="22"/>
      <c r="F38" s="23">
        <v>3681766</v>
      </c>
      <c r="G38" s="23">
        <v>3640282.1308</v>
      </c>
      <c r="H38" s="23">
        <f t="shared" si="6"/>
        <v>-41483.869200000074</v>
      </c>
    </row>
    <row r="39" spans="1:8" ht="15.5">
      <c r="A39" s="20">
        <v>71</v>
      </c>
      <c r="B39" s="20">
        <v>2025</v>
      </c>
      <c r="C39" s="20" t="s">
        <v>88</v>
      </c>
      <c r="D39" s="21" t="s">
        <v>54</v>
      </c>
      <c r="E39" s="22"/>
      <c r="F39" s="23">
        <v>1057113</v>
      </c>
      <c r="G39" s="23">
        <v>1043358.1198540576</v>
      </c>
      <c r="H39" s="23">
        <f t="shared" si="6"/>
        <v>-13754.880145942443</v>
      </c>
    </row>
    <row r="40" spans="1:8" ht="15.5">
      <c r="A40" s="20">
        <v>71</v>
      </c>
      <c r="B40" s="20">
        <v>2026</v>
      </c>
      <c r="C40" s="20" t="s">
        <v>88</v>
      </c>
      <c r="D40" s="21" t="s">
        <v>94</v>
      </c>
      <c r="E40" s="22"/>
      <c r="F40" s="23">
        <v>3754487</v>
      </c>
      <c r="G40" s="23">
        <v>3712173.453416</v>
      </c>
      <c r="H40" s="23">
        <f t="shared" si="6"/>
        <v>-42313.54658399988</v>
      </c>
    </row>
    <row r="41" spans="1:8" ht="15.5">
      <c r="A41" s="20">
        <v>71</v>
      </c>
      <c r="B41" s="20">
        <v>2026</v>
      </c>
      <c r="C41" s="20" t="s">
        <v>88</v>
      </c>
      <c r="D41" s="21" t="s">
        <v>54</v>
      </c>
      <c r="E41" s="22"/>
      <c r="F41" s="23">
        <v>1100546</v>
      </c>
      <c r="G41" s="23">
        <v>1086130.1337506587</v>
      </c>
      <c r="H41" s="23">
        <f t="shared" si="6"/>
        <v>-14415.866249341285</v>
      </c>
    </row>
    <row r="42" spans="1:8" ht="15.5">
      <c r="A42" s="20">
        <v>71</v>
      </c>
      <c r="B42" s="20">
        <v>2027</v>
      </c>
      <c r="C42" s="20" t="s">
        <v>88</v>
      </c>
      <c r="D42" s="21" t="s">
        <v>94</v>
      </c>
      <c r="E42" s="22"/>
      <c r="F42" s="23">
        <v>3828664</v>
      </c>
      <c r="G42" s="23">
        <v>3785504.18248432</v>
      </c>
      <c r="H42" s="23">
        <f t="shared" si="6"/>
        <v>-43159.8175156801</v>
      </c>
    </row>
    <row r="43" spans="1:8" ht="15.5">
      <c r="A43" s="20">
        <v>71</v>
      </c>
      <c r="B43" s="20">
        <v>2027</v>
      </c>
      <c r="C43" s="20" t="s">
        <v>88</v>
      </c>
      <c r="D43" s="21" t="s">
        <v>54</v>
      </c>
      <c r="E43" s="22"/>
      <c r="F43" s="23">
        <v>1146338</v>
      </c>
      <c r="G43" s="23">
        <v>1131224.1116768718</v>
      </c>
      <c r="H43" s="23">
        <f t="shared" si="6"/>
        <v>-15113.888323128223</v>
      </c>
    </row>
    <row r="44" spans="1:8" ht="15.5">
      <c r="A44" s="15"/>
      <c r="B44" s="14"/>
      <c r="C44" s="15"/>
      <c r="D44" s="15"/>
      <c r="E44" s="16"/>
      <c r="F44" s="16"/>
      <c r="G44" s="27" t="s">
        <v>25</v>
      </c>
      <c r="H44" s="48">
        <f>SUM(H36:H43)</f>
        <v>-224040.63131411397</v>
      </c>
    </row>
    <row r="45" spans="1:8" ht="15.5">
      <c r="A45" s="24"/>
      <c r="B45" s="24"/>
      <c r="C45" s="24"/>
      <c r="D45" s="25"/>
      <c r="E45" s="25"/>
      <c r="F45" s="26"/>
      <c r="G45" s="26"/>
      <c r="H45" s="26"/>
    </row>
    <row r="46" spans="1:8" ht="15.5">
      <c r="A46" s="91" t="s">
        <v>1</v>
      </c>
      <c r="B46" s="92" t="s">
        <v>2</v>
      </c>
      <c r="C46" s="92" t="s">
        <v>3</v>
      </c>
      <c r="D46" s="91"/>
      <c r="E46" s="4"/>
      <c r="F46" s="5"/>
      <c r="G46" s="5"/>
      <c r="H46" s="5"/>
    </row>
    <row r="47" spans="1:8" ht="15.5">
      <c r="A47" s="91" t="s">
        <v>4</v>
      </c>
      <c r="B47" s="92" t="s">
        <v>5</v>
      </c>
      <c r="C47" s="92" t="s">
        <v>6</v>
      </c>
      <c r="D47" s="91" t="s">
        <v>7</v>
      </c>
      <c r="E47" s="92" t="s">
        <v>8</v>
      </c>
      <c r="F47" s="6" t="s">
        <v>9</v>
      </c>
      <c r="G47" s="6" t="s">
        <v>10</v>
      </c>
      <c r="H47" s="6" t="s">
        <v>11</v>
      </c>
    </row>
    <row r="48" spans="1:8" ht="15.5">
      <c r="A48" s="7">
        <v>135</v>
      </c>
      <c r="B48" s="8" t="s">
        <v>5</v>
      </c>
      <c r="C48" s="7">
        <v>51101</v>
      </c>
      <c r="D48" s="7" t="s">
        <v>96</v>
      </c>
      <c r="E48" s="94" t="s">
        <v>95</v>
      </c>
      <c r="F48" s="9">
        <v>61589.72</v>
      </c>
      <c r="G48" s="9">
        <v>0</v>
      </c>
      <c r="H48" s="9">
        <f>G48-F48</f>
        <v>-61589.72</v>
      </c>
    </row>
    <row r="49" spans="1:8" ht="15.5">
      <c r="A49" s="7">
        <v>135</v>
      </c>
      <c r="B49" s="8" t="s">
        <v>5</v>
      </c>
      <c r="C49" s="7">
        <v>52101</v>
      </c>
      <c r="D49" s="7" t="s">
        <v>96</v>
      </c>
      <c r="E49" s="8" t="s">
        <v>71</v>
      </c>
      <c r="F49" s="9">
        <v>8654.16</v>
      </c>
      <c r="G49" s="9">
        <v>0</v>
      </c>
      <c r="H49" s="9">
        <f aca="true" t="shared" si="7" ref="H49:H51">G49-F49</f>
        <v>-8654.16</v>
      </c>
    </row>
    <row r="50" spans="1:8" ht="15.5">
      <c r="A50" s="7">
        <v>135</v>
      </c>
      <c r="B50" s="8" t="s">
        <v>5</v>
      </c>
      <c r="C50" s="7">
        <v>52111</v>
      </c>
      <c r="D50" s="7" t="s">
        <v>96</v>
      </c>
      <c r="E50" s="8" t="s">
        <v>87</v>
      </c>
      <c r="F50" s="9">
        <v>1949.058663</v>
      </c>
      <c r="G50" s="9">
        <v>0</v>
      </c>
      <c r="H50" s="9">
        <f t="shared" si="7"/>
        <v>-1949.058663</v>
      </c>
    </row>
    <row r="51" spans="1:8" ht="15.5">
      <c r="A51" s="7">
        <v>135</v>
      </c>
      <c r="B51" s="8" t="s">
        <v>5</v>
      </c>
      <c r="C51" s="7">
        <v>52201</v>
      </c>
      <c r="D51" s="7" t="s">
        <v>96</v>
      </c>
      <c r="E51" s="8" t="s">
        <v>51</v>
      </c>
      <c r="F51" s="9">
        <v>3818.58</v>
      </c>
      <c r="G51" s="9">
        <v>0</v>
      </c>
      <c r="H51" s="9">
        <f t="shared" si="7"/>
        <v>-3818.58</v>
      </c>
    </row>
    <row r="52" spans="1:8" ht="15.5">
      <c r="A52" s="4"/>
      <c r="B52" s="4"/>
      <c r="C52" s="4"/>
      <c r="D52" s="10"/>
      <c r="E52" s="4"/>
      <c r="F52" s="5"/>
      <c r="G52" s="11" t="s">
        <v>17</v>
      </c>
      <c r="H52" s="93">
        <f>SUM(H48:H51)</f>
        <v>-76011.51866300001</v>
      </c>
    </row>
    <row r="53" spans="1:8" ht="15.5">
      <c r="A53" s="24"/>
      <c r="B53" s="24"/>
      <c r="C53" s="24"/>
      <c r="D53" s="25"/>
      <c r="E53" s="25"/>
      <c r="F53" s="26"/>
      <c r="G53" s="26"/>
      <c r="H53" s="26"/>
    </row>
    <row r="54" spans="1:8" ht="15.5">
      <c r="A54" s="13" t="s">
        <v>1</v>
      </c>
      <c r="B54" s="14"/>
      <c r="C54" s="15" t="s">
        <v>18</v>
      </c>
      <c r="D54" s="16"/>
      <c r="E54" s="17"/>
      <c r="F54" s="15"/>
      <c r="G54" s="15"/>
      <c r="H54" s="17"/>
    </row>
    <row r="55" spans="1:8" ht="15">
      <c r="A55" s="13" t="s">
        <v>4</v>
      </c>
      <c r="B55" s="18" t="s">
        <v>19</v>
      </c>
      <c r="C55" s="18" t="s">
        <v>20</v>
      </c>
      <c r="D55" s="18" t="s">
        <v>21</v>
      </c>
      <c r="E55" s="19"/>
      <c r="F55" s="19" t="s">
        <v>9</v>
      </c>
      <c r="G55" s="13" t="s">
        <v>10</v>
      </c>
      <c r="H55" s="13" t="s">
        <v>22</v>
      </c>
    </row>
    <row r="56" spans="1:8" ht="15.5">
      <c r="A56" s="20">
        <v>71</v>
      </c>
      <c r="B56" s="20">
        <v>2024</v>
      </c>
      <c r="C56" s="20" t="s">
        <v>96</v>
      </c>
      <c r="D56" s="21" t="s">
        <v>94</v>
      </c>
      <c r="E56" s="22"/>
      <c r="F56" s="23">
        <v>2623716</v>
      </c>
      <c r="G56" s="23">
        <v>2560894.2</v>
      </c>
      <c r="H56" s="23">
        <f>G56-F56</f>
        <v>-62821.799999999814</v>
      </c>
    </row>
    <row r="57" spans="1:8" ht="15.5">
      <c r="A57" s="20">
        <v>71</v>
      </c>
      <c r="B57" s="20">
        <v>2024</v>
      </c>
      <c r="C57" s="20" t="s">
        <v>96</v>
      </c>
      <c r="D57" s="21" t="s">
        <v>54</v>
      </c>
      <c r="E57" s="22"/>
      <c r="F57" s="23">
        <v>32382889</v>
      </c>
      <c r="G57" s="23">
        <v>32367686.31896374</v>
      </c>
      <c r="H57" s="23">
        <f aca="true" t="shared" si="8" ref="H57:H63">G57-F57</f>
        <v>-15202.681036259979</v>
      </c>
    </row>
    <row r="58" spans="1:8" ht="15.5">
      <c r="A58" s="20">
        <v>71</v>
      </c>
      <c r="B58" s="20">
        <v>2025</v>
      </c>
      <c r="C58" s="20" t="s">
        <v>96</v>
      </c>
      <c r="D58" s="21" t="s">
        <v>94</v>
      </c>
      <c r="E58" s="22"/>
      <c r="F58" s="23">
        <v>2675783</v>
      </c>
      <c r="G58" s="23">
        <v>2611704.764</v>
      </c>
      <c r="H58" s="23">
        <f t="shared" si="8"/>
        <v>-64078.23600000003</v>
      </c>
    </row>
    <row r="59" spans="1:8" ht="15.5">
      <c r="A59" s="20">
        <v>71</v>
      </c>
      <c r="B59" s="20">
        <v>2025</v>
      </c>
      <c r="C59" s="20" t="s">
        <v>96</v>
      </c>
      <c r="D59" s="21" t="s">
        <v>54</v>
      </c>
      <c r="E59" s="22"/>
      <c r="F59" s="23">
        <v>34096352</v>
      </c>
      <c r="G59" s="23">
        <v>34080481.25455902</v>
      </c>
      <c r="H59" s="23">
        <f t="shared" si="8"/>
        <v>-15870.745440982282</v>
      </c>
    </row>
    <row r="60" spans="1:8" ht="15.5">
      <c r="A60" s="20">
        <v>71</v>
      </c>
      <c r="B60" s="20">
        <v>2026</v>
      </c>
      <c r="C60" s="20" t="s">
        <v>96</v>
      </c>
      <c r="D60" s="21" t="s">
        <v>94</v>
      </c>
      <c r="E60" s="22"/>
      <c r="F60" s="23">
        <v>2728901</v>
      </c>
      <c r="G60" s="23">
        <v>2663541.19928</v>
      </c>
      <c r="H60" s="23">
        <f t="shared" si="8"/>
        <v>-65359.800720000174</v>
      </c>
    </row>
    <row r="61" spans="1:8" ht="15.5">
      <c r="A61" s="20">
        <v>71</v>
      </c>
      <c r="B61" s="20">
        <v>2026</v>
      </c>
      <c r="C61" s="20" t="s">
        <v>96</v>
      </c>
      <c r="D61" s="21" t="s">
        <v>54</v>
      </c>
      <c r="E61" s="22"/>
      <c r="F61" s="23">
        <v>35898524</v>
      </c>
      <c r="G61" s="23">
        <v>35881949.95114972</v>
      </c>
      <c r="H61" s="23">
        <f t="shared" si="8"/>
        <v>-16574.048850283027</v>
      </c>
    </row>
    <row r="62" spans="1:8" ht="15.5">
      <c r="A62" s="20">
        <v>71</v>
      </c>
      <c r="B62" s="20">
        <v>2027</v>
      </c>
      <c r="C62" s="20" t="s">
        <v>96</v>
      </c>
      <c r="D62" s="21" t="s">
        <v>94</v>
      </c>
      <c r="E62" s="22"/>
      <c r="F62" s="23">
        <v>2782763</v>
      </c>
      <c r="G62" s="23">
        <v>2716096.0032656</v>
      </c>
      <c r="H62" s="23">
        <f t="shared" si="8"/>
        <v>-66666.99673439981</v>
      </c>
    </row>
    <row r="63" spans="1:8" ht="15.5">
      <c r="A63" s="20">
        <v>71</v>
      </c>
      <c r="B63" s="20">
        <v>2027</v>
      </c>
      <c r="C63" s="20" t="s">
        <v>96</v>
      </c>
      <c r="D63" s="21" t="s">
        <v>54</v>
      </c>
      <c r="E63" s="22"/>
      <c r="F63" s="23">
        <v>36565706</v>
      </c>
      <c r="G63" s="23">
        <v>36548390.76542391</v>
      </c>
      <c r="H63" s="23">
        <f t="shared" si="8"/>
        <v>-17315.23457609117</v>
      </c>
    </row>
    <row r="64" spans="1:8" ht="15.5">
      <c r="A64" s="15"/>
      <c r="B64" s="14"/>
      <c r="C64" s="15"/>
      <c r="D64" s="15"/>
      <c r="E64" s="16"/>
      <c r="F64" s="16"/>
      <c r="G64" s="27" t="s">
        <v>25</v>
      </c>
      <c r="H64" s="48">
        <f>SUM(H56:H63)</f>
        <v>-323889.5433580163</v>
      </c>
    </row>
    <row r="68" spans="1:8" ht="15.5">
      <c r="A68" s="91" t="s">
        <v>1</v>
      </c>
      <c r="B68" s="92" t="s">
        <v>2</v>
      </c>
      <c r="C68" s="92" t="s">
        <v>3</v>
      </c>
      <c r="D68" s="91"/>
      <c r="E68" s="4"/>
      <c r="F68" s="5"/>
      <c r="G68" s="5"/>
      <c r="H68" s="5"/>
    </row>
    <row r="69" spans="1:8" ht="15.5">
      <c r="A69" s="91" t="s">
        <v>4</v>
      </c>
      <c r="B69" s="92" t="s">
        <v>5</v>
      </c>
      <c r="C69" s="92" t="s">
        <v>6</v>
      </c>
      <c r="D69" s="91" t="s">
        <v>7</v>
      </c>
      <c r="E69" s="92" t="s">
        <v>8</v>
      </c>
      <c r="F69" s="6" t="s">
        <v>9</v>
      </c>
      <c r="G69" s="6" t="s">
        <v>10</v>
      </c>
      <c r="H69" s="6" t="s">
        <v>11</v>
      </c>
    </row>
    <row r="70" spans="1:8" ht="15.5">
      <c r="A70" s="7">
        <v>108</v>
      </c>
      <c r="B70" s="8" t="s">
        <v>5</v>
      </c>
      <c r="C70" s="7">
        <v>51101</v>
      </c>
      <c r="D70" s="7" t="s">
        <v>98</v>
      </c>
      <c r="E70" s="94" t="s">
        <v>97</v>
      </c>
      <c r="F70" s="9">
        <v>64251.22</v>
      </c>
      <c r="G70" s="9">
        <v>0</v>
      </c>
      <c r="H70" s="9">
        <f>G70-F70</f>
        <v>-64251.22</v>
      </c>
    </row>
    <row r="71" spans="1:8" ht="15.5">
      <c r="A71" s="7">
        <v>108</v>
      </c>
      <c r="B71" s="8" t="s">
        <v>5</v>
      </c>
      <c r="C71" s="7">
        <v>52101</v>
      </c>
      <c r="D71" s="7" t="s">
        <v>98</v>
      </c>
      <c r="E71" s="8" t="s">
        <v>71</v>
      </c>
      <c r="F71" s="9">
        <v>8654.16</v>
      </c>
      <c r="G71" s="9">
        <v>0</v>
      </c>
      <c r="H71" s="9">
        <f aca="true" t="shared" si="9" ref="H71:H73">G71-F71</f>
        <v>-8654.16</v>
      </c>
    </row>
    <row r="72" spans="1:8" ht="15.5">
      <c r="A72" s="7">
        <v>108</v>
      </c>
      <c r="B72" s="8" t="s">
        <v>5</v>
      </c>
      <c r="C72" s="7">
        <v>52111</v>
      </c>
      <c r="D72" s="7" t="s">
        <v>98</v>
      </c>
      <c r="E72" s="8" t="s">
        <v>87</v>
      </c>
      <c r="F72" s="9">
        <v>2033.2678707</v>
      </c>
      <c r="G72" s="9">
        <v>0</v>
      </c>
      <c r="H72" s="9">
        <f t="shared" si="9"/>
        <v>-2033.2678707</v>
      </c>
    </row>
    <row r="73" spans="1:8" ht="15.5">
      <c r="A73" s="7">
        <v>108</v>
      </c>
      <c r="B73" s="8" t="s">
        <v>5</v>
      </c>
      <c r="C73" s="7">
        <v>52201</v>
      </c>
      <c r="D73" s="7" t="s">
        <v>98</v>
      </c>
      <c r="E73" s="8" t="s">
        <v>51</v>
      </c>
      <c r="F73" s="9">
        <v>4915.21833</v>
      </c>
      <c r="G73" s="9">
        <v>0</v>
      </c>
      <c r="H73" s="9">
        <f t="shared" si="9"/>
        <v>-4915.21833</v>
      </c>
    </row>
    <row r="74" spans="1:8" ht="15.5">
      <c r="A74" s="4"/>
      <c r="B74" s="4"/>
      <c r="C74" s="4"/>
      <c r="D74" s="10"/>
      <c r="E74" s="4"/>
      <c r="F74" s="5"/>
      <c r="G74" s="11" t="s">
        <v>17</v>
      </c>
      <c r="H74" s="93">
        <f>SUM(H70:H73)</f>
        <v>-79853.86620070001</v>
      </c>
    </row>
    <row r="75" spans="1:8" ht="15.5">
      <c r="A75" s="24"/>
      <c r="B75" s="24"/>
      <c r="C75" s="24"/>
      <c r="D75" s="25"/>
      <c r="E75" s="25"/>
      <c r="F75" s="26"/>
      <c r="G75" s="26"/>
      <c r="H75" s="26"/>
    </row>
    <row r="76" spans="1:8" ht="15.5">
      <c r="A76" s="13" t="s">
        <v>1</v>
      </c>
      <c r="B76" s="14"/>
      <c r="C76" s="15"/>
      <c r="D76" s="16"/>
      <c r="E76" s="17"/>
      <c r="F76" s="15"/>
      <c r="G76" s="15"/>
      <c r="H76" s="17"/>
    </row>
    <row r="77" spans="1:8" ht="15">
      <c r="A77" s="13" t="s">
        <v>4</v>
      </c>
      <c r="B77" s="18" t="s">
        <v>19</v>
      </c>
      <c r="C77" s="18" t="s">
        <v>20</v>
      </c>
      <c r="D77" s="18" t="s">
        <v>21</v>
      </c>
      <c r="E77" s="19"/>
      <c r="F77" s="19" t="s">
        <v>9</v>
      </c>
      <c r="G77" s="13" t="s">
        <v>10</v>
      </c>
      <c r="H77" s="13" t="s">
        <v>22</v>
      </c>
    </row>
    <row r="78" spans="1:8" ht="15.5">
      <c r="A78" s="20">
        <v>110</v>
      </c>
      <c r="B78" s="20">
        <v>2024</v>
      </c>
      <c r="C78" s="20" t="s">
        <v>98</v>
      </c>
      <c r="D78" s="21" t="s">
        <v>94</v>
      </c>
      <c r="E78" s="22"/>
      <c r="F78" s="23">
        <v>2458416</v>
      </c>
      <c r="G78" s="23">
        <v>2392879.98</v>
      </c>
      <c r="H78" s="23">
        <f>G78-F78</f>
        <v>-65536.02000000002</v>
      </c>
    </row>
    <row r="79" spans="1:8" ht="15.5">
      <c r="A79" s="20">
        <v>110</v>
      </c>
      <c r="B79" s="20">
        <v>2024</v>
      </c>
      <c r="C79" s="20" t="s">
        <v>98</v>
      </c>
      <c r="D79" s="21" t="s">
        <v>54</v>
      </c>
      <c r="E79" s="22"/>
      <c r="F79" s="23">
        <v>112201878</v>
      </c>
      <c r="G79" s="23">
        <v>112186421.14393188</v>
      </c>
      <c r="H79" s="23">
        <f aca="true" t="shared" si="10" ref="H79:H85">G79-F79</f>
        <v>-15456.856068119407</v>
      </c>
    </row>
    <row r="80" spans="1:8" ht="15.5">
      <c r="A80" s="20">
        <v>110</v>
      </c>
      <c r="B80" s="20">
        <v>2025</v>
      </c>
      <c r="C80" s="20" t="s">
        <v>98</v>
      </c>
      <c r="D80" s="21" t="s">
        <v>94</v>
      </c>
      <c r="E80" s="22"/>
      <c r="F80" s="23">
        <v>2519531</v>
      </c>
      <c r="G80" s="23">
        <v>2452684.2596</v>
      </c>
      <c r="H80" s="23">
        <f t="shared" si="10"/>
        <v>-66846.74040000001</v>
      </c>
    </row>
    <row r="81" spans="1:8" ht="15.5">
      <c r="A81" s="20">
        <v>110</v>
      </c>
      <c r="B81" s="20">
        <v>2025</v>
      </c>
      <c r="C81" s="20" t="s">
        <v>98</v>
      </c>
      <c r="D81" s="21" t="s">
        <v>54</v>
      </c>
      <c r="E81" s="22"/>
      <c r="F81" s="23">
        <v>113192024</v>
      </c>
      <c r="G81" s="23">
        <v>113175893.99602653</v>
      </c>
      <c r="H81" s="23">
        <f t="shared" si="10"/>
        <v>-16130.003973469138</v>
      </c>
    </row>
    <row r="82" spans="1:8" ht="15.5">
      <c r="A82" s="20">
        <v>110</v>
      </c>
      <c r="B82" s="20">
        <v>2026</v>
      </c>
      <c r="C82" s="20" t="s">
        <v>98</v>
      </c>
      <c r="D82" s="21" t="s">
        <v>94</v>
      </c>
      <c r="E82" s="22"/>
      <c r="F82" s="23">
        <v>2569853</v>
      </c>
      <c r="G82" s="23">
        <v>2501669.324792</v>
      </c>
      <c r="H82" s="23">
        <f t="shared" si="10"/>
        <v>-68183.675208</v>
      </c>
    </row>
    <row r="83" spans="1:8" ht="15.5">
      <c r="A83" s="20">
        <v>110</v>
      </c>
      <c r="B83" s="20">
        <v>2026</v>
      </c>
      <c r="C83" s="20" t="s">
        <v>98</v>
      </c>
      <c r="D83" s="21" t="s">
        <v>54</v>
      </c>
      <c r="E83" s="22"/>
      <c r="F83" s="23">
        <v>114195552</v>
      </c>
      <c r="G83" s="23">
        <v>114178713.50744657</v>
      </c>
      <c r="H83" s="23">
        <f t="shared" si="10"/>
        <v>-16838.492553427815</v>
      </c>
    </row>
    <row r="84" spans="1:8" ht="15.5">
      <c r="A84" s="20">
        <v>110</v>
      </c>
      <c r="B84" s="20">
        <v>2027</v>
      </c>
      <c r="C84" s="20" t="s">
        <v>98</v>
      </c>
      <c r="D84" s="21" t="s">
        <v>94</v>
      </c>
      <c r="E84" s="22"/>
      <c r="F84" s="23">
        <v>26210323</v>
      </c>
      <c r="G84" s="23">
        <v>26142139.324792</v>
      </c>
      <c r="H84" s="23">
        <f t="shared" si="10"/>
        <v>-68183.6752079986</v>
      </c>
    </row>
    <row r="85" spans="1:8" ht="15.5">
      <c r="A85" s="20">
        <v>110</v>
      </c>
      <c r="B85" s="20">
        <v>2027</v>
      </c>
      <c r="C85" s="20" t="s">
        <v>98</v>
      </c>
      <c r="D85" s="21" t="s">
        <v>54</v>
      </c>
      <c r="E85" s="22"/>
      <c r="F85" s="23">
        <v>115427195</v>
      </c>
      <c r="G85" s="23">
        <v>115409610.0328467</v>
      </c>
      <c r="H85" s="23">
        <f t="shared" si="10"/>
        <v>-17584.967153295875</v>
      </c>
    </row>
    <row r="86" spans="1:8" ht="15.5">
      <c r="A86" s="15"/>
      <c r="B86" s="14"/>
      <c r="C86" s="15"/>
      <c r="D86" s="15"/>
      <c r="E86" s="16"/>
      <c r="F86" s="16"/>
      <c r="G86" s="27" t="s">
        <v>25</v>
      </c>
      <c r="H86" s="48">
        <f>SUM(H78:H85)</f>
        <v>-334760.43056431087</v>
      </c>
    </row>
    <row r="89" spans="1:8" ht="15.5">
      <c r="A89" s="91" t="s">
        <v>1</v>
      </c>
      <c r="B89" s="92" t="s">
        <v>2</v>
      </c>
      <c r="C89" s="92" t="s">
        <v>3</v>
      </c>
      <c r="D89" s="91"/>
      <c r="E89" s="4"/>
      <c r="F89" s="5"/>
      <c r="G89" s="5"/>
      <c r="H89" s="5"/>
    </row>
    <row r="90" spans="1:8" ht="15.5">
      <c r="A90" s="91" t="s">
        <v>4</v>
      </c>
      <c r="B90" s="92" t="s">
        <v>5</v>
      </c>
      <c r="C90" s="92" t="s">
        <v>6</v>
      </c>
      <c r="D90" s="91" t="s">
        <v>7</v>
      </c>
      <c r="E90" s="92" t="s">
        <v>8</v>
      </c>
      <c r="F90" s="6" t="s">
        <v>9</v>
      </c>
      <c r="G90" s="6" t="s">
        <v>10</v>
      </c>
      <c r="H90" s="6" t="s">
        <v>11</v>
      </c>
    </row>
    <row r="91" spans="1:8" ht="15.5">
      <c r="A91" s="7">
        <v>141</v>
      </c>
      <c r="B91" s="8" t="s">
        <v>5</v>
      </c>
      <c r="C91" s="7">
        <v>51101</v>
      </c>
      <c r="D91" s="20" t="s">
        <v>100</v>
      </c>
      <c r="E91" s="94" t="s">
        <v>99</v>
      </c>
      <c r="F91" s="9">
        <v>54260.14</v>
      </c>
      <c r="G91" s="9">
        <v>0</v>
      </c>
      <c r="H91" s="9">
        <f>G91-F91</f>
        <v>-54260.14</v>
      </c>
    </row>
    <row r="92" spans="1:8" ht="15.5">
      <c r="A92" s="7">
        <v>141</v>
      </c>
      <c r="B92" s="8" t="s">
        <v>5</v>
      </c>
      <c r="C92" s="7">
        <v>52101</v>
      </c>
      <c r="D92" s="20" t="s">
        <v>100</v>
      </c>
      <c r="E92" s="8" t="s">
        <v>71</v>
      </c>
      <c r="F92" s="9">
        <v>8654.16</v>
      </c>
      <c r="G92" s="9">
        <v>0</v>
      </c>
      <c r="H92" s="9">
        <f aca="true" t="shared" si="11" ref="H92:H94">G92-F92</f>
        <v>-8654.16</v>
      </c>
    </row>
    <row r="93" spans="1:8" ht="15.5">
      <c r="A93" s="7">
        <v>141</v>
      </c>
      <c r="B93" s="8" t="s">
        <v>5</v>
      </c>
      <c r="C93" s="7">
        <v>52111</v>
      </c>
      <c r="D93" s="20" t="s">
        <v>100</v>
      </c>
      <c r="E93" s="8" t="s">
        <v>87</v>
      </c>
      <c r="F93" s="9">
        <v>1717.0956820000001</v>
      </c>
      <c r="G93" s="9">
        <v>0</v>
      </c>
      <c r="H93" s="9">
        <f t="shared" si="11"/>
        <v>-1717.0956820000001</v>
      </c>
    </row>
    <row r="94" spans="1:8" ht="15.5">
      <c r="A94" s="7">
        <v>141</v>
      </c>
      <c r="B94" s="8" t="s">
        <v>5</v>
      </c>
      <c r="C94" s="7">
        <v>52201</v>
      </c>
      <c r="D94" s="20" t="s">
        <v>100</v>
      </c>
      <c r="E94" s="8" t="s">
        <v>51</v>
      </c>
      <c r="F94" s="9">
        <f>0.0765*F91</f>
        <v>4150.90071</v>
      </c>
      <c r="G94" s="9">
        <v>0</v>
      </c>
      <c r="H94" s="9">
        <f t="shared" si="11"/>
        <v>-4150.90071</v>
      </c>
    </row>
    <row r="95" spans="1:8" ht="15.5">
      <c r="A95" s="4"/>
      <c r="B95" s="4"/>
      <c r="C95" s="4"/>
      <c r="D95" s="10"/>
      <c r="E95" s="4"/>
      <c r="F95" s="5"/>
      <c r="G95" s="11" t="s">
        <v>17</v>
      </c>
      <c r="H95" s="93">
        <f>SUM(H91:H94)</f>
        <v>-68782.296392</v>
      </c>
    </row>
    <row r="96" spans="1:8" ht="15.5">
      <c r="A96" s="24"/>
      <c r="B96" s="24"/>
      <c r="C96" s="24"/>
      <c r="D96" s="25"/>
      <c r="E96" s="25"/>
      <c r="F96" s="26"/>
      <c r="G96" s="26"/>
      <c r="H96" s="26"/>
    </row>
    <row r="97" spans="1:8" ht="15.5">
      <c r="A97" s="13" t="s">
        <v>1</v>
      </c>
      <c r="B97" s="14"/>
      <c r="C97" s="15"/>
      <c r="D97" s="16"/>
      <c r="E97" s="17"/>
      <c r="F97" s="15"/>
      <c r="G97" s="15"/>
      <c r="H97" s="17"/>
    </row>
    <row r="98" spans="1:8" ht="15">
      <c r="A98" s="13" t="s">
        <v>4</v>
      </c>
      <c r="B98" s="18" t="s">
        <v>19</v>
      </c>
      <c r="C98" s="18" t="s">
        <v>20</v>
      </c>
      <c r="D98" s="18" t="s">
        <v>21</v>
      </c>
      <c r="E98" s="19"/>
      <c r="F98" s="19" t="s">
        <v>9</v>
      </c>
      <c r="G98" s="13" t="s">
        <v>10</v>
      </c>
      <c r="H98" s="13" t="s">
        <v>22</v>
      </c>
    </row>
    <row r="99" spans="1:8" ht="15.5">
      <c r="A99" s="20">
        <v>143</v>
      </c>
      <c r="B99" s="20">
        <v>2024</v>
      </c>
      <c r="C99" s="20" t="s">
        <v>100</v>
      </c>
      <c r="D99" s="21" t="s">
        <v>94</v>
      </c>
      <c r="E99" s="22"/>
      <c r="F99" s="23">
        <v>3518412</v>
      </c>
      <c r="G99" s="23">
        <v>3463066.8</v>
      </c>
      <c r="H99" s="23">
        <f>G99-F99</f>
        <v>-55345.200000000186</v>
      </c>
    </row>
    <row r="100" spans="1:8" ht="15.5">
      <c r="A100" s="20">
        <v>143</v>
      </c>
      <c r="B100" s="20">
        <v>2024</v>
      </c>
      <c r="C100" s="20" t="s">
        <v>100</v>
      </c>
      <c r="D100" s="21" t="s">
        <v>54</v>
      </c>
      <c r="E100" s="22"/>
      <c r="F100" s="23">
        <v>984930</v>
      </c>
      <c r="G100" s="23">
        <v>970427.47040436</v>
      </c>
      <c r="H100" s="23">
        <f aca="true" t="shared" si="12" ref="H100:H106">G100-F100</f>
        <v>-14502.529595640022</v>
      </c>
    </row>
    <row r="101" spans="1:8" ht="15.5">
      <c r="A101" s="20">
        <v>143</v>
      </c>
      <c r="B101" s="20">
        <v>2025</v>
      </c>
      <c r="C101" s="20" t="s">
        <v>100</v>
      </c>
      <c r="D101" s="21" t="s">
        <v>94</v>
      </c>
      <c r="E101" s="22"/>
      <c r="F101" s="23">
        <v>3603518</v>
      </c>
      <c r="G101" s="23">
        <v>3547065.896</v>
      </c>
      <c r="H101" s="23">
        <f t="shared" si="12"/>
        <v>-56452.10399999982</v>
      </c>
    </row>
    <row r="102" spans="1:8" ht="15.5">
      <c r="A102" s="20">
        <v>143</v>
      </c>
      <c r="B102" s="20">
        <v>2025</v>
      </c>
      <c r="C102" s="20" t="s">
        <v>100</v>
      </c>
      <c r="D102" s="21" t="s">
        <v>54</v>
      </c>
      <c r="E102" s="22"/>
      <c r="F102" s="23">
        <v>1024802</v>
      </c>
      <c r="G102" s="23">
        <v>1009645.4090284472</v>
      </c>
      <c r="H102" s="23">
        <f t="shared" si="12"/>
        <v>-15156.590971552767</v>
      </c>
    </row>
    <row r="103" spans="1:8" ht="15.5">
      <c r="A103" s="20">
        <v>143</v>
      </c>
      <c r="B103" s="20">
        <v>2026</v>
      </c>
      <c r="C103" s="20" t="s">
        <v>100</v>
      </c>
      <c r="D103" s="21" t="s">
        <v>94</v>
      </c>
      <c r="E103" s="22"/>
      <c r="F103" s="23">
        <v>3674246</v>
      </c>
      <c r="G103" s="23">
        <v>3616664.85392</v>
      </c>
      <c r="H103" s="23">
        <f t="shared" si="12"/>
        <v>-57581.14607999986</v>
      </c>
    </row>
    <row r="104" spans="1:8" ht="15.5">
      <c r="A104" s="20">
        <v>143</v>
      </c>
      <c r="B104" s="20">
        <v>2026</v>
      </c>
      <c r="C104" s="20" t="s">
        <v>100</v>
      </c>
      <c r="D104" s="21" t="s">
        <v>54</v>
      </c>
      <c r="E104" s="22"/>
      <c r="F104" s="23">
        <v>1065193</v>
      </c>
      <c r="G104" s="23">
        <v>1049347.388708536</v>
      </c>
      <c r="H104" s="23">
        <f t="shared" si="12"/>
        <v>-15845.611291463953</v>
      </c>
    </row>
    <row r="105" spans="1:8" ht="15.5">
      <c r="A105" s="20">
        <v>143</v>
      </c>
      <c r="B105" s="20">
        <v>2027</v>
      </c>
      <c r="C105" s="20" t="s">
        <v>100</v>
      </c>
      <c r="D105" s="21" t="s">
        <v>94</v>
      </c>
      <c r="E105" s="22"/>
      <c r="F105" s="23">
        <v>3746388</v>
      </c>
      <c r="G105" s="23">
        <v>3688806.85392</v>
      </c>
      <c r="H105" s="23">
        <f t="shared" si="12"/>
        <v>-57581.14607999986</v>
      </c>
    </row>
    <row r="106" spans="1:8" ht="15.5">
      <c r="A106" s="20">
        <v>143</v>
      </c>
      <c r="B106" s="20">
        <v>2027</v>
      </c>
      <c r="C106" s="20" t="s">
        <v>100</v>
      </c>
      <c r="D106" s="21" t="s">
        <v>54</v>
      </c>
      <c r="E106" s="22"/>
      <c r="F106" s="23">
        <v>1107760</v>
      </c>
      <c r="G106" s="23">
        <v>1091187.7717339068</v>
      </c>
      <c r="H106" s="23">
        <f t="shared" si="12"/>
        <v>-16572.22826609318</v>
      </c>
    </row>
    <row r="107" spans="1:8" ht="15.5">
      <c r="A107" s="15"/>
      <c r="B107" s="14"/>
      <c r="C107" s="15"/>
      <c r="D107" s="15"/>
      <c r="E107" s="16"/>
      <c r="F107" s="16"/>
      <c r="G107" s="27" t="s">
        <v>25</v>
      </c>
      <c r="H107" s="48">
        <f>SUM(H99:H106)</f>
        <v>-289036.55628474965</v>
      </c>
    </row>
    <row r="110" spans="1:8" ht="15.5">
      <c r="A110" s="91" t="s">
        <v>1</v>
      </c>
      <c r="B110" s="92" t="s">
        <v>2</v>
      </c>
      <c r="C110" s="92" t="s">
        <v>3</v>
      </c>
      <c r="D110" s="91"/>
      <c r="E110" s="4"/>
      <c r="F110" s="5"/>
      <c r="G110" s="5"/>
      <c r="H110" s="5"/>
    </row>
    <row r="111" spans="1:8" ht="15.5">
      <c r="A111" s="91" t="s">
        <v>4</v>
      </c>
      <c r="B111" s="92" t="s">
        <v>5</v>
      </c>
      <c r="C111" s="92" t="s">
        <v>6</v>
      </c>
      <c r="D111" s="91" t="s">
        <v>7</v>
      </c>
      <c r="E111" s="92" t="s">
        <v>8</v>
      </c>
      <c r="F111" s="6" t="s">
        <v>9</v>
      </c>
      <c r="G111" s="6" t="s">
        <v>10</v>
      </c>
      <c r="H111" s="6" t="s">
        <v>11</v>
      </c>
    </row>
    <row r="112" spans="1:8" ht="15.5">
      <c r="A112" s="7">
        <v>233</v>
      </c>
      <c r="B112" s="8" t="s">
        <v>5</v>
      </c>
      <c r="C112" s="7">
        <v>51101</v>
      </c>
      <c r="D112" s="20" t="s">
        <v>59</v>
      </c>
      <c r="E112" s="94" t="s">
        <v>101</v>
      </c>
      <c r="F112" s="9">
        <v>51824</v>
      </c>
      <c r="G112" s="9">
        <v>0</v>
      </c>
      <c r="H112" s="9">
        <f>G112-F112</f>
        <v>-51824</v>
      </c>
    </row>
    <row r="113" spans="1:8" ht="15.5">
      <c r="A113" s="7">
        <v>233</v>
      </c>
      <c r="B113" s="8" t="s">
        <v>5</v>
      </c>
      <c r="C113" s="7">
        <v>52101</v>
      </c>
      <c r="D113" s="20" t="s">
        <v>59</v>
      </c>
      <c r="E113" s="8" t="s">
        <v>71</v>
      </c>
      <c r="F113" s="9">
        <v>8654.16</v>
      </c>
      <c r="G113" s="9">
        <v>0</v>
      </c>
      <c r="H113" s="9">
        <f aca="true" t="shared" si="13" ref="H113:H115">G113-F113</f>
        <v>-8654.16</v>
      </c>
    </row>
    <row r="114" spans="1:8" ht="15.5">
      <c r="A114" s="7">
        <v>233</v>
      </c>
      <c r="B114" s="8" t="s">
        <v>5</v>
      </c>
      <c r="C114" s="7">
        <v>52111</v>
      </c>
      <c r="D114" s="20" t="s">
        <v>59</v>
      </c>
      <c r="E114" s="8" t="s">
        <v>87</v>
      </c>
      <c r="F114" s="9">
        <v>1640.0067568000002</v>
      </c>
      <c r="G114" s="9">
        <v>0</v>
      </c>
      <c r="H114" s="9">
        <f t="shared" si="13"/>
        <v>-1640.0067568000002</v>
      </c>
    </row>
    <row r="115" spans="1:8" ht="15.5">
      <c r="A115" s="7">
        <v>233</v>
      </c>
      <c r="B115" s="8" t="s">
        <v>5</v>
      </c>
      <c r="C115" s="7">
        <v>52201</v>
      </c>
      <c r="D115" s="20" t="s">
        <v>59</v>
      </c>
      <c r="E115" s="8" t="s">
        <v>51</v>
      </c>
      <c r="F115" s="9">
        <v>3964.536</v>
      </c>
      <c r="G115" s="9">
        <v>0</v>
      </c>
      <c r="H115" s="9">
        <f t="shared" si="13"/>
        <v>-3964.536</v>
      </c>
    </row>
    <row r="116" spans="1:8" ht="15.5">
      <c r="A116" s="4"/>
      <c r="B116" s="4"/>
      <c r="C116" s="4"/>
      <c r="D116" s="10"/>
      <c r="E116" s="4"/>
      <c r="F116" s="5"/>
      <c r="G116" s="11" t="s">
        <v>17</v>
      </c>
      <c r="H116" s="93">
        <f>SUM(H112:H115)</f>
        <v>-66082.7027568</v>
      </c>
    </row>
    <row r="117" spans="1:8" ht="15.5">
      <c r="A117" s="24"/>
      <c r="B117" s="24"/>
      <c r="C117" s="24"/>
      <c r="D117" s="25"/>
      <c r="E117" s="25"/>
      <c r="F117" s="26"/>
      <c r="G117" s="26"/>
      <c r="H117" s="26"/>
    </row>
    <row r="118" spans="1:8" ht="15.5">
      <c r="A118" s="13" t="s">
        <v>1</v>
      </c>
      <c r="B118" s="14"/>
      <c r="C118" s="15"/>
      <c r="D118" s="16"/>
      <c r="E118" s="17"/>
      <c r="F118" s="15"/>
      <c r="G118" s="15"/>
      <c r="H118" s="17"/>
    </row>
    <row r="119" spans="1:8" ht="15">
      <c r="A119" s="13" t="s">
        <v>4</v>
      </c>
      <c r="B119" s="18" t="s">
        <v>19</v>
      </c>
      <c r="C119" s="18" t="s">
        <v>20</v>
      </c>
      <c r="D119" s="18" t="s">
        <v>21</v>
      </c>
      <c r="E119" s="19"/>
      <c r="F119" s="19" t="s">
        <v>9</v>
      </c>
      <c r="G119" s="13" t="s">
        <v>10</v>
      </c>
      <c r="H119" s="13" t="s">
        <v>22</v>
      </c>
    </row>
    <row r="120" spans="1:8" ht="15.5">
      <c r="A120" s="20">
        <v>235</v>
      </c>
      <c r="B120" s="20">
        <v>2024</v>
      </c>
      <c r="C120" s="20" t="s">
        <v>59</v>
      </c>
      <c r="D120" s="21" t="s">
        <v>94</v>
      </c>
      <c r="E120" s="22"/>
      <c r="F120" s="23">
        <v>7665012</v>
      </c>
      <c r="G120" s="23">
        <v>7612151.52</v>
      </c>
      <c r="H120" s="23">
        <f>G120-F120</f>
        <v>-52860.48000000045</v>
      </c>
    </row>
    <row r="121" spans="1:8" ht="15.5">
      <c r="A121" s="20">
        <v>235</v>
      </c>
      <c r="B121" s="20">
        <v>2024</v>
      </c>
      <c r="C121" s="20" t="s">
        <v>59</v>
      </c>
      <c r="D121" s="21" t="s">
        <v>54</v>
      </c>
      <c r="E121" s="22"/>
      <c r="F121" s="23">
        <v>2363044</v>
      </c>
      <c r="G121" s="23">
        <v>2348774.153748064</v>
      </c>
      <c r="H121" s="23">
        <f aca="true" t="shared" si="14" ref="H121:H127">G121-F121</f>
        <v>-14269.846251936164</v>
      </c>
    </row>
    <row r="122" spans="1:8" ht="15.5">
      <c r="A122" s="20">
        <v>235</v>
      </c>
      <c r="B122" s="20">
        <v>2025</v>
      </c>
      <c r="C122" s="20" t="s">
        <v>59</v>
      </c>
      <c r="D122" s="21" t="s">
        <v>94</v>
      </c>
      <c r="E122" s="22"/>
      <c r="F122" s="23">
        <v>7832431</v>
      </c>
      <c r="G122" s="23">
        <v>7778513.3104</v>
      </c>
      <c r="H122" s="23">
        <f t="shared" si="14"/>
        <v>-53917.68960000016</v>
      </c>
    </row>
    <row r="123" spans="1:8" ht="15.5">
      <c r="A123" s="20">
        <v>235</v>
      </c>
      <c r="B123" s="20">
        <v>2025</v>
      </c>
      <c r="C123" s="20" t="s">
        <v>59</v>
      </c>
      <c r="D123" s="21" t="s">
        <v>54</v>
      </c>
      <c r="E123" s="22"/>
      <c r="F123" s="23">
        <v>2461995</v>
      </c>
      <c r="G123" s="23">
        <v>2447075.7460390255</v>
      </c>
      <c r="H123" s="23">
        <f t="shared" si="14"/>
        <v>-14919.253960974514</v>
      </c>
    </row>
    <row r="124" spans="1:8" ht="15.5">
      <c r="A124" s="20">
        <v>235</v>
      </c>
      <c r="B124" s="20">
        <v>2026</v>
      </c>
      <c r="C124" s="20" t="s">
        <v>59</v>
      </c>
      <c r="D124" s="21" t="s">
        <v>94</v>
      </c>
      <c r="E124" s="22"/>
      <c r="F124" s="23">
        <v>7987281</v>
      </c>
      <c r="G124" s="23">
        <v>7932284.956608</v>
      </c>
      <c r="H124" s="23">
        <f t="shared" si="14"/>
        <v>-54996.04339199979</v>
      </c>
    </row>
    <row r="125" spans="1:8" ht="15.5">
      <c r="A125" s="20">
        <v>235</v>
      </c>
      <c r="B125" s="20">
        <v>2026</v>
      </c>
      <c r="C125" s="20" t="s">
        <v>59</v>
      </c>
      <c r="D125" s="21" t="s">
        <v>54</v>
      </c>
      <c r="E125" s="22"/>
      <c r="F125" s="23">
        <v>2564680</v>
      </c>
      <c r="G125" s="23">
        <v>2549076.4724593256</v>
      </c>
      <c r="H125" s="23">
        <f t="shared" si="14"/>
        <v>-15603.527540674433</v>
      </c>
    </row>
    <row r="126" spans="1:8" ht="15.5">
      <c r="A126" s="20">
        <v>235</v>
      </c>
      <c r="B126" s="20">
        <v>2027</v>
      </c>
      <c r="C126" s="20" t="s">
        <v>59</v>
      </c>
      <c r="D126" s="21" t="s">
        <v>94</v>
      </c>
      <c r="E126" s="22"/>
      <c r="F126" s="23">
        <v>8143567</v>
      </c>
      <c r="G126" s="23">
        <v>8087471.03574016</v>
      </c>
      <c r="H126" s="23">
        <f t="shared" si="14"/>
        <v>-56095.96425983962</v>
      </c>
    </row>
    <row r="127" spans="1:8" ht="15.5">
      <c r="A127" s="20">
        <v>235</v>
      </c>
      <c r="B127" s="20">
        <v>2027</v>
      </c>
      <c r="C127" s="20" t="s">
        <v>59</v>
      </c>
      <c r="D127" s="21" t="s">
        <v>54</v>
      </c>
      <c r="E127" s="22"/>
      <c r="F127" s="23">
        <v>2672940</v>
      </c>
      <c r="G127" s="23">
        <v>2656614.697159712</v>
      </c>
      <c r="H127" s="23">
        <f t="shared" si="14"/>
        <v>-16325.302840287797</v>
      </c>
    </row>
    <row r="128" spans="1:8" ht="15.5">
      <c r="A128" s="15"/>
      <c r="B128" s="14"/>
      <c r="C128" s="15"/>
      <c r="D128" s="15"/>
      <c r="E128" s="16"/>
      <c r="F128" s="16"/>
      <c r="G128" s="27" t="s">
        <v>25</v>
      </c>
      <c r="H128" s="48">
        <f>SUM(H120:H127)</f>
        <v>-278988.1078457129</v>
      </c>
    </row>
    <row r="131" spans="1:8" ht="15.5">
      <c r="A131" s="91" t="s">
        <v>1</v>
      </c>
      <c r="B131" s="92" t="s">
        <v>2</v>
      </c>
      <c r="C131" s="92" t="s">
        <v>3</v>
      </c>
      <c r="D131" s="91"/>
      <c r="E131" s="4"/>
      <c r="F131" s="5"/>
      <c r="G131" s="5"/>
      <c r="H131" s="5"/>
    </row>
    <row r="132" spans="1:8" ht="15.5">
      <c r="A132" s="91" t="s">
        <v>4</v>
      </c>
      <c r="B132" s="92" t="s">
        <v>5</v>
      </c>
      <c r="C132" s="92" t="s">
        <v>6</v>
      </c>
      <c r="D132" s="91" t="s">
        <v>7</v>
      </c>
      <c r="E132" s="92" t="s">
        <v>8</v>
      </c>
      <c r="F132" s="6" t="s">
        <v>9</v>
      </c>
      <c r="G132" s="6" t="s">
        <v>10</v>
      </c>
      <c r="H132" s="6" t="s">
        <v>11</v>
      </c>
    </row>
    <row r="133" spans="1:8" ht="15.5">
      <c r="A133" s="7">
        <v>223</v>
      </c>
      <c r="B133" s="8" t="s">
        <v>5</v>
      </c>
      <c r="C133" s="7">
        <v>51101</v>
      </c>
      <c r="D133" s="20" t="s">
        <v>103</v>
      </c>
      <c r="E133" s="94" t="s">
        <v>102</v>
      </c>
      <c r="F133" s="9">
        <v>59065</v>
      </c>
      <c r="G133" s="9">
        <v>0</v>
      </c>
      <c r="H133" s="9">
        <f>G133-F133</f>
        <v>-59065</v>
      </c>
    </row>
    <row r="134" spans="1:8" ht="15.5">
      <c r="A134" s="7">
        <v>223</v>
      </c>
      <c r="B134" s="8" t="s">
        <v>5</v>
      </c>
      <c r="C134" s="7">
        <v>52101</v>
      </c>
      <c r="D134" s="20" t="s">
        <v>103</v>
      </c>
      <c r="E134" s="8" t="s">
        <v>71</v>
      </c>
      <c r="F134" s="9">
        <v>8654.16</v>
      </c>
      <c r="G134" s="9">
        <v>0</v>
      </c>
      <c r="H134" s="9">
        <f aca="true" t="shared" si="15" ref="H134:H136">G134-F134</f>
        <v>-8654.16</v>
      </c>
    </row>
    <row r="135" spans="1:8" ht="15.5">
      <c r="A135" s="7">
        <v>223</v>
      </c>
      <c r="B135" s="8" t="s">
        <v>5</v>
      </c>
      <c r="C135" s="7">
        <v>52111</v>
      </c>
      <c r="D135" s="20" t="s">
        <v>103</v>
      </c>
      <c r="E135" s="8" t="s">
        <v>87</v>
      </c>
      <c r="F135" s="9">
        <v>1869.1532705</v>
      </c>
      <c r="G135" s="9">
        <v>0</v>
      </c>
      <c r="H135" s="9">
        <f t="shared" si="15"/>
        <v>-1869.1532705</v>
      </c>
    </row>
    <row r="136" spans="1:8" ht="15.5">
      <c r="A136" s="7">
        <v>223</v>
      </c>
      <c r="B136" s="8" t="s">
        <v>5</v>
      </c>
      <c r="C136" s="7">
        <v>52201</v>
      </c>
      <c r="D136" s="20" t="s">
        <v>103</v>
      </c>
      <c r="E136" s="8" t="s">
        <v>51</v>
      </c>
      <c r="F136" s="9">
        <f>0.0765*F133</f>
        <v>4518.4725</v>
      </c>
      <c r="G136" s="9">
        <v>0</v>
      </c>
      <c r="H136" s="9">
        <f t="shared" si="15"/>
        <v>-4518.4725</v>
      </c>
    </row>
    <row r="137" spans="1:8" ht="15.5">
      <c r="A137" s="4"/>
      <c r="B137" s="4"/>
      <c r="C137" s="4"/>
      <c r="D137" s="10"/>
      <c r="E137" s="4"/>
      <c r="F137" s="5"/>
      <c r="G137" s="11" t="s">
        <v>17</v>
      </c>
      <c r="H137" s="93">
        <f>SUM(H133:H136)</f>
        <v>-74106.7857705</v>
      </c>
    </row>
    <row r="138" spans="1:8" ht="15.5">
      <c r="A138" s="24"/>
      <c r="B138" s="24"/>
      <c r="C138" s="24"/>
      <c r="D138" s="25"/>
      <c r="E138" s="25"/>
      <c r="F138" s="26"/>
      <c r="G138" s="26"/>
      <c r="H138" s="26"/>
    </row>
    <row r="139" spans="1:8" ht="15.5">
      <c r="A139" s="13" t="s">
        <v>1</v>
      </c>
      <c r="B139" s="14"/>
      <c r="C139" s="15"/>
      <c r="D139" s="16"/>
      <c r="E139" s="17"/>
      <c r="F139" s="15"/>
      <c r="G139" s="15"/>
      <c r="H139" s="17"/>
    </row>
    <row r="140" spans="1:8" ht="15">
      <c r="A140" s="13" t="s">
        <v>4</v>
      </c>
      <c r="B140" s="18" t="s">
        <v>19</v>
      </c>
      <c r="C140" s="18" t="s">
        <v>20</v>
      </c>
      <c r="D140" s="18" t="s">
        <v>21</v>
      </c>
      <c r="E140" s="19"/>
      <c r="F140" s="19" t="s">
        <v>9</v>
      </c>
      <c r="G140" s="13" t="s">
        <v>10</v>
      </c>
      <c r="H140" s="13" t="s">
        <v>22</v>
      </c>
    </row>
    <row r="141" spans="1:8" ht="15.5">
      <c r="A141" s="20">
        <v>225</v>
      </c>
      <c r="B141" s="20">
        <v>2024</v>
      </c>
      <c r="C141" s="20" t="s">
        <v>103</v>
      </c>
      <c r="D141" s="21" t="s">
        <v>94</v>
      </c>
      <c r="E141" s="22"/>
      <c r="F141" s="23">
        <v>4309248</v>
      </c>
      <c r="G141" s="23">
        <v>4249001.7</v>
      </c>
      <c r="H141" s="23">
        <f>G141-F141</f>
        <v>-60246.299999999814</v>
      </c>
    </row>
    <row r="142" spans="1:8" ht="15.5">
      <c r="A142" s="20">
        <v>225</v>
      </c>
      <c r="B142" s="20">
        <v>2024</v>
      </c>
      <c r="C142" s="20" t="s">
        <v>103</v>
      </c>
      <c r="D142" s="21" t="s">
        <v>54</v>
      </c>
      <c r="E142" s="22"/>
      <c r="F142" s="23">
        <v>1055471</v>
      </c>
      <c r="G142" s="23">
        <v>1040509.50346409</v>
      </c>
      <c r="H142" s="23">
        <f aca="true" t="shared" si="16" ref="H142:H148">G142-F142</f>
        <v>-14961.496535909944</v>
      </c>
    </row>
    <row r="143" spans="1:8" ht="15.5">
      <c r="A143" s="20">
        <v>225</v>
      </c>
      <c r="B143" s="20">
        <v>2025</v>
      </c>
      <c r="C143" s="20" t="s">
        <v>103</v>
      </c>
      <c r="D143" s="21" t="s">
        <v>94</v>
      </c>
      <c r="E143" s="22"/>
      <c r="F143" s="23">
        <v>4407492</v>
      </c>
      <c r="G143" s="23">
        <v>4346040.774</v>
      </c>
      <c r="H143" s="23">
        <f t="shared" si="16"/>
        <v>-61451.22599999979</v>
      </c>
    </row>
    <row r="144" spans="1:8" ht="15.5">
      <c r="A144" s="20">
        <v>225</v>
      </c>
      <c r="B144" s="20">
        <v>2025</v>
      </c>
      <c r="C144" s="20" t="s">
        <v>103</v>
      </c>
      <c r="D144" s="21" t="s">
        <v>54</v>
      </c>
      <c r="E144" s="22"/>
      <c r="F144" s="23">
        <v>1097079</v>
      </c>
      <c r="G144" s="23">
        <v>1081454.2627493718</v>
      </c>
      <c r="H144" s="23">
        <f t="shared" si="16"/>
        <v>-15624.737250628183</v>
      </c>
    </row>
    <row r="145" spans="1:8" ht="15.5">
      <c r="A145" s="20">
        <v>225</v>
      </c>
      <c r="B145" s="20">
        <v>2026</v>
      </c>
      <c r="C145" s="20" t="s">
        <v>103</v>
      </c>
      <c r="D145" s="21" t="s">
        <v>94</v>
      </c>
      <c r="E145" s="22"/>
      <c r="F145" s="23">
        <v>4508175</v>
      </c>
      <c r="G145" s="23">
        <v>4445494.74948</v>
      </c>
      <c r="H145" s="23">
        <f t="shared" si="16"/>
        <v>-62680.250520000234</v>
      </c>
    </row>
    <row r="146" spans="1:8" ht="15.5">
      <c r="A146" s="20">
        <v>225</v>
      </c>
      <c r="B146" s="20">
        <v>2026</v>
      </c>
      <c r="C146" s="20" t="s">
        <v>103</v>
      </c>
      <c r="D146" s="21" t="s">
        <v>54</v>
      </c>
      <c r="E146" s="22"/>
      <c r="F146" s="23">
        <v>1140856</v>
      </c>
      <c r="G146" s="23">
        <v>1124532.8795038792</v>
      </c>
      <c r="H146" s="23">
        <f t="shared" si="16"/>
        <v>-16323.12049612077</v>
      </c>
    </row>
    <row r="147" spans="1:8" ht="15.5">
      <c r="A147" s="20">
        <v>225</v>
      </c>
      <c r="B147" s="20">
        <v>2027</v>
      </c>
      <c r="C147" s="20" t="s">
        <v>103</v>
      </c>
      <c r="D147" s="21" t="s">
        <v>94</v>
      </c>
      <c r="E147" s="22"/>
      <c r="F147" s="23">
        <v>4606112</v>
      </c>
      <c r="G147" s="23">
        <v>4542178.1444696</v>
      </c>
      <c r="H147" s="23">
        <f t="shared" si="16"/>
        <v>-63933.85553039983</v>
      </c>
    </row>
    <row r="148" spans="1:8" ht="15.5">
      <c r="A148" s="20">
        <v>225</v>
      </c>
      <c r="B148" s="20">
        <v>2027</v>
      </c>
      <c r="C148" s="20" t="s">
        <v>103</v>
      </c>
      <c r="D148" s="21" t="s">
        <v>54</v>
      </c>
      <c r="E148" s="22"/>
      <c r="F148" s="23">
        <v>1186561</v>
      </c>
      <c r="G148" s="23">
        <v>1169501.7123451568</v>
      </c>
      <c r="H148" s="23">
        <f t="shared" si="16"/>
        <v>-17059.28765484318</v>
      </c>
    </row>
    <row r="149" spans="1:8" ht="15.5">
      <c r="A149" s="15"/>
      <c r="B149" s="14"/>
      <c r="C149" s="15"/>
      <c r="D149" s="15"/>
      <c r="E149" s="16"/>
      <c r="F149" s="16"/>
      <c r="G149" s="27" t="s">
        <v>25</v>
      </c>
      <c r="H149" s="48">
        <f>SUM(H141:H148)</f>
        <v>-312280.27398790175</v>
      </c>
    </row>
    <row r="153" spans="1:8" ht="15.5">
      <c r="A153" s="91" t="s">
        <v>1</v>
      </c>
      <c r="B153" s="92" t="s">
        <v>2</v>
      </c>
      <c r="C153" s="92" t="s">
        <v>3</v>
      </c>
      <c r="D153" s="91"/>
      <c r="E153" s="4"/>
      <c r="F153" s="5"/>
      <c r="G153" s="5"/>
      <c r="H153" s="5"/>
    </row>
    <row r="154" spans="1:8" ht="15.5">
      <c r="A154" s="91" t="s">
        <v>4</v>
      </c>
      <c r="B154" s="92" t="s">
        <v>5</v>
      </c>
      <c r="C154" s="92" t="s">
        <v>6</v>
      </c>
      <c r="D154" s="91" t="s">
        <v>7</v>
      </c>
      <c r="E154" s="92" t="s">
        <v>8</v>
      </c>
      <c r="F154" s="6" t="s">
        <v>9</v>
      </c>
      <c r="G154" s="6" t="s">
        <v>10</v>
      </c>
      <c r="H154" s="6" t="s">
        <v>11</v>
      </c>
    </row>
    <row r="155" spans="1:8" ht="15.5">
      <c r="A155" s="7">
        <v>207</v>
      </c>
      <c r="B155" s="8" t="s">
        <v>5</v>
      </c>
      <c r="C155" s="7">
        <v>51101</v>
      </c>
      <c r="D155" s="20" t="s">
        <v>105</v>
      </c>
      <c r="E155" s="94" t="s">
        <v>104</v>
      </c>
      <c r="F155" s="9">
        <f>47072.48*2</f>
        <v>94144.96</v>
      </c>
      <c r="G155" s="9">
        <v>0</v>
      </c>
      <c r="H155" s="9">
        <f>G155-F155</f>
        <v>-94144.96</v>
      </c>
    </row>
    <row r="156" spans="1:8" ht="15.5">
      <c r="A156" s="7">
        <v>207</v>
      </c>
      <c r="B156" s="8" t="s">
        <v>5</v>
      </c>
      <c r="C156" s="7">
        <v>52101</v>
      </c>
      <c r="D156" s="20" t="s">
        <v>105</v>
      </c>
      <c r="E156" s="8" t="s">
        <v>71</v>
      </c>
      <c r="F156" s="9">
        <f>6488*2</f>
        <v>12976</v>
      </c>
      <c r="G156" s="9">
        <v>0</v>
      </c>
      <c r="H156" s="9">
        <f aca="true" t="shared" si="17" ref="H156:H158">G156-F156</f>
        <v>-12976</v>
      </c>
    </row>
    <row r="157" spans="1:8" ht="15.5">
      <c r="A157" s="7">
        <v>207</v>
      </c>
      <c r="B157" s="8" t="s">
        <v>5</v>
      </c>
      <c r="C157" s="7">
        <v>52111</v>
      </c>
      <c r="D157" s="20" t="s">
        <v>105</v>
      </c>
      <c r="E157" s="8" t="s">
        <v>87</v>
      </c>
      <c r="F157" s="9">
        <f>1489.6580361*2</f>
        <v>2979.3160722</v>
      </c>
      <c r="G157" s="9">
        <v>0</v>
      </c>
      <c r="H157" s="9">
        <f t="shared" si="17"/>
        <v>-2979.3160722</v>
      </c>
    </row>
    <row r="158" spans="1:8" ht="15.5">
      <c r="A158" s="7">
        <v>207</v>
      </c>
      <c r="B158" s="8" t="s">
        <v>5</v>
      </c>
      <c r="C158" s="7">
        <v>52201</v>
      </c>
      <c r="D158" s="20" t="s">
        <v>105</v>
      </c>
      <c r="E158" s="8" t="s">
        <v>51</v>
      </c>
      <c r="F158" s="9">
        <f>0.0765*F155*2</f>
        <v>14404.178880000001</v>
      </c>
      <c r="G158" s="9">
        <v>0</v>
      </c>
      <c r="H158" s="9">
        <f t="shared" si="17"/>
        <v>-14404.178880000001</v>
      </c>
    </row>
    <row r="159" spans="1:8" ht="15.5">
      <c r="A159" s="4"/>
      <c r="B159" s="4"/>
      <c r="C159" s="4"/>
      <c r="D159" s="10"/>
      <c r="E159" s="4"/>
      <c r="F159" s="5"/>
      <c r="G159" s="11" t="s">
        <v>17</v>
      </c>
      <c r="H159" s="93">
        <f>SUM(H155:H158)</f>
        <v>-124504.45495220002</v>
      </c>
    </row>
    <row r="161" spans="1:8" ht="15.5">
      <c r="A161" s="91" t="s">
        <v>1</v>
      </c>
      <c r="B161" s="92" t="s">
        <v>2</v>
      </c>
      <c r="C161" s="92" t="s">
        <v>3</v>
      </c>
      <c r="D161" s="91"/>
      <c r="E161" s="4"/>
      <c r="F161" s="5"/>
      <c r="G161" s="5"/>
      <c r="H161" s="5"/>
    </row>
    <row r="162" spans="1:8" ht="15.5">
      <c r="A162" s="91" t="s">
        <v>4</v>
      </c>
      <c r="B162" s="92" t="s">
        <v>5</v>
      </c>
      <c r="C162" s="92" t="s">
        <v>6</v>
      </c>
      <c r="D162" s="91" t="s">
        <v>7</v>
      </c>
      <c r="E162" s="92" t="s">
        <v>8</v>
      </c>
      <c r="F162" s="6" t="s">
        <v>9</v>
      </c>
      <c r="G162" s="6" t="s">
        <v>10</v>
      </c>
      <c r="H162" s="6" t="s">
        <v>11</v>
      </c>
    </row>
    <row r="163" spans="1:8" ht="15.5">
      <c r="A163" s="7">
        <v>207</v>
      </c>
      <c r="B163" s="8" t="s">
        <v>5</v>
      </c>
      <c r="C163" s="7">
        <v>51101</v>
      </c>
      <c r="D163" s="20" t="s">
        <v>105</v>
      </c>
      <c r="E163" s="94" t="s">
        <v>106</v>
      </c>
      <c r="F163" s="9">
        <f>51906*2</f>
        <v>103812</v>
      </c>
      <c r="G163" s="9">
        <v>0</v>
      </c>
      <c r="H163" s="9">
        <f>G163-F163</f>
        <v>-103812</v>
      </c>
    </row>
    <row r="164" spans="1:8" ht="15.5">
      <c r="A164" s="7">
        <v>207</v>
      </c>
      <c r="B164" s="8" t="s">
        <v>5</v>
      </c>
      <c r="C164" s="7">
        <v>52101</v>
      </c>
      <c r="D164" s="20" t="s">
        <v>105</v>
      </c>
      <c r="E164" s="8" t="s">
        <v>71</v>
      </c>
      <c r="F164" s="9">
        <f>6488*2</f>
        <v>12976</v>
      </c>
      <c r="G164" s="9">
        <v>0</v>
      </c>
      <c r="H164" s="9">
        <f aca="true" t="shared" si="18" ref="H164:H166">G164-F164</f>
        <v>-12976</v>
      </c>
    </row>
    <row r="165" spans="1:8" ht="15.5">
      <c r="A165" s="7">
        <v>207</v>
      </c>
      <c r="B165" s="8" t="s">
        <v>5</v>
      </c>
      <c r="C165" s="7">
        <v>52111</v>
      </c>
      <c r="D165" s="20" t="s">
        <v>105</v>
      </c>
      <c r="E165" s="8" t="s">
        <v>87</v>
      </c>
      <c r="F165" s="9">
        <f>1869.1532705*2</f>
        <v>3738.306541</v>
      </c>
      <c r="G165" s="9">
        <v>0</v>
      </c>
      <c r="H165" s="9">
        <f t="shared" si="18"/>
        <v>-3738.306541</v>
      </c>
    </row>
    <row r="166" spans="1:8" ht="15.5">
      <c r="A166" s="7">
        <v>207</v>
      </c>
      <c r="B166" s="8" t="s">
        <v>5</v>
      </c>
      <c r="C166" s="7">
        <v>52201</v>
      </c>
      <c r="D166" s="20" t="s">
        <v>105</v>
      </c>
      <c r="E166" s="8" t="s">
        <v>51</v>
      </c>
      <c r="F166" s="9">
        <f>0.0765*F163*2</f>
        <v>15883.235999999999</v>
      </c>
      <c r="G166" s="9">
        <v>0</v>
      </c>
      <c r="H166" s="9">
        <f t="shared" si="18"/>
        <v>-15883.235999999999</v>
      </c>
    </row>
    <row r="167" spans="1:8" ht="15.5">
      <c r="A167" s="4"/>
      <c r="B167" s="4"/>
      <c r="C167" s="4"/>
      <c r="D167" s="10"/>
      <c r="E167" s="4"/>
      <c r="F167" s="5"/>
      <c r="G167" s="11" t="s">
        <v>17</v>
      </c>
      <c r="H167" s="93">
        <f>SUM(H163:H166)</f>
        <v>-136409.542541</v>
      </c>
    </row>
    <row r="168" spans="1:8" ht="15.5">
      <c r="A168" s="24"/>
      <c r="B168" s="24"/>
      <c r="C168" s="24"/>
      <c r="D168" s="25"/>
      <c r="E168" s="25"/>
      <c r="F168" s="26"/>
      <c r="G168" s="26"/>
      <c r="H168" s="26"/>
    </row>
    <row r="169" spans="1:8" ht="15.5">
      <c r="A169" s="13" t="s">
        <v>1</v>
      </c>
      <c r="B169" s="14"/>
      <c r="C169" s="15"/>
      <c r="D169" s="16"/>
      <c r="E169" s="17"/>
      <c r="F169" s="15"/>
      <c r="G169" s="15"/>
      <c r="H169" s="17"/>
    </row>
    <row r="170" spans="1:8" ht="15">
      <c r="A170" s="13" t="s">
        <v>4</v>
      </c>
      <c r="B170" s="18" t="s">
        <v>19</v>
      </c>
      <c r="C170" s="18" t="s">
        <v>20</v>
      </c>
      <c r="D170" s="18" t="s">
        <v>21</v>
      </c>
      <c r="E170" s="19"/>
      <c r="F170" s="19" t="s">
        <v>9</v>
      </c>
      <c r="G170" s="13" t="s">
        <v>10</v>
      </c>
      <c r="H170" s="13" t="s">
        <v>22</v>
      </c>
    </row>
    <row r="171" spans="1:8" ht="15.5">
      <c r="A171" s="20">
        <v>210</v>
      </c>
      <c r="B171" s="20">
        <v>2024</v>
      </c>
      <c r="C171" s="20" t="s">
        <v>105</v>
      </c>
      <c r="D171" s="21" t="s">
        <v>94</v>
      </c>
      <c r="E171" s="22"/>
      <c r="F171" s="23">
        <v>17315702</v>
      </c>
      <c r="G171" s="23">
        <f>17113785.86</f>
        <v>17113785.86</v>
      </c>
      <c r="H171" s="23">
        <f>G171-F171</f>
        <v>-201916.1400000006</v>
      </c>
    </row>
    <row r="172" spans="1:8" ht="15.5">
      <c r="A172" s="20">
        <v>210</v>
      </c>
      <c r="B172" s="20">
        <v>2024</v>
      </c>
      <c r="C172" s="20" t="s">
        <v>105</v>
      </c>
      <c r="D172" s="21" t="s">
        <v>54</v>
      </c>
      <c r="E172" s="22"/>
      <c r="F172" s="23">
        <v>6253187</v>
      </c>
      <c r="G172" s="23">
        <f>6233951.33204343</f>
        <v>6233951.33204343</v>
      </c>
      <c r="H172" s="23">
        <f aca="true" t="shared" si="19" ref="H172:H178">G172-F172</f>
        <v>-19235.667956570163</v>
      </c>
    </row>
    <row r="173" spans="1:8" ht="15.5">
      <c r="A173" s="20">
        <v>210</v>
      </c>
      <c r="B173" s="20">
        <v>2025</v>
      </c>
      <c r="C173" s="20" t="s">
        <v>105</v>
      </c>
      <c r="D173" s="21" t="s">
        <v>94</v>
      </c>
      <c r="E173" s="22"/>
      <c r="F173" s="23">
        <v>17647286</v>
      </c>
      <c r="G173" s="23">
        <f>17441331.5372</f>
        <v>17441331.5372</v>
      </c>
      <c r="H173" s="23">
        <f t="shared" si="19"/>
        <v>-205954.46279999986</v>
      </c>
    </row>
    <row r="174" spans="1:8" ht="15.5">
      <c r="A174" s="20">
        <v>210</v>
      </c>
      <c r="B174" s="20">
        <v>2025</v>
      </c>
      <c r="C174" s="20" t="s">
        <v>105</v>
      </c>
      <c r="D174" s="21" t="s">
        <v>54</v>
      </c>
      <c r="E174" s="22"/>
      <c r="F174" s="23">
        <v>6494980</v>
      </c>
      <c r="G174" s="23">
        <v>6455953.061810971</v>
      </c>
      <c r="H174" s="23">
        <f t="shared" si="19"/>
        <v>-39026.93818902876</v>
      </c>
    </row>
    <row r="175" spans="1:8" ht="15.5">
      <c r="A175" s="20">
        <v>210</v>
      </c>
      <c r="B175" s="20">
        <v>2026</v>
      </c>
      <c r="C175" s="20" t="s">
        <v>105</v>
      </c>
      <c r="D175" s="21" t="s">
        <v>94</v>
      </c>
      <c r="E175" s="22"/>
      <c r="F175" s="23">
        <v>17982696</v>
      </c>
      <c r="G175" s="23">
        <v>17772622.447944</v>
      </c>
      <c r="H175" s="23">
        <f t="shared" si="19"/>
        <v>-210073.55205599964</v>
      </c>
    </row>
    <row r="176" spans="1:8" ht="15.5">
      <c r="A176" s="20">
        <v>210</v>
      </c>
      <c r="B176" s="20">
        <v>2026</v>
      </c>
      <c r="C176" s="20" t="s">
        <v>105</v>
      </c>
      <c r="D176" s="21" t="s">
        <v>54</v>
      </c>
      <c r="E176" s="22"/>
      <c r="F176" s="23">
        <v>6749628</v>
      </c>
      <c r="G176" s="23">
        <v>6709048.7460462265</v>
      </c>
      <c r="H176" s="23">
        <f t="shared" si="19"/>
        <v>-40579.25395377353</v>
      </c>
    </row>
    <row r="177" spans="1:8" ht="15.5">
      <c r="A177" s="20">
        <v>210</v>
      </c>
      <c r="B177" s="20">
        <v>2027</v>
      </c>
      <c r="C177" s="20" t="s">
        <v>105</v>
      </c>
      <c r="D177" s="21" t="s">
        <v>94</v>
      </c>
      <c r="E177" s="22"/>
      <c r="F177" s="23">
        <v>18321051</v>
      </c>
      <c r="G177" s="23">
        <v>18106775.97690288</v>
      </c>
      <c r="H177" s="23">
        <f t="shared" si="19"/>
        <v>-214275.02309712023</v>
      </c>
    </row>
    <row r="178" spans="1:8" ht="15.5">
      <c r="A178" s="20">
        <v>210</v>
      </c>
      <c r="B178" s="20">
        <v>2027</v>
      </c>
      <c r="C178" s="20" t="s">
        <v>105</v>
      </c>
      <c r="D178" s="21" t="s">
        <v>54</v>
      </c>
      <c r="E178" s="22"/>
      <c r="F178" s="23">
        <v>7020016</v>
      </c>
      <c r="G178" s="23">
        <v>6977805.751469553</v>
      </c>
      <c r="H178" s="23">
        <f t="shared" si="19"/>
        <v>-42210.24853044655</v>
      </c>
    </row>
    <row r="179" spans="1:8" ht="15.5">
      <c r="A179" s="15"/>
      <c r="B179" s="14"/>
      <c r="C179" s="15"/>
      <c r="D179" s="15"/>
      <c r="E179" s="16"/>
      <c r="F179" s="16"/>
      <c r="G179" s="27" t="s">
        <v>25</v>
      </c>
      <c r="H179" s="48">
        <f>SUM(H171:H178)</f>
        <v>-973271.2865829393</v>
      </c>
    </row>
    <row r="181" spans="1:8" ht="15.5">
      <c r="A181" s="91" t="s">
        <v>1</v>
      </c>
      <c r="B181" s="92" t="s">
        <v>2</v>
      </c>
      <c r="C181" s="92" t="s">
        <v>3</v>
      </c>
      <c r="D181" s="91"/>
      <c r="E181" s="4"/>
      <c r="F181" s="5"/>
      <c r="G181" s="5"/>
      <c r="H181" s="5"/>
    </row>
    <row r="182" spans="1:8" ht="15.5">
      <c r="A182" s="91" t="s">
        <v>4</v>
      </c>
      <c r="B182" s="92" t="s">
        <v>5</v>
      </c>
      <c r="C182" s="92" t="s">
        <v>6</v>
      </c>
      <c r="D182" s="91" t="s">
        <v>7</v>
      </c>
      <c r="E182" s="92" t="s">
        <v>8</v>
      </c>
      <c r="F182" s="6" t="s">
        <v>9</v>
      </c>
      <c r="G182" s="6" t="s">
        <v>10</v>
      </c>
      <c r="H182" s="6" t="s">
        <v>11</v>
      </c>
    </row>
    <row r="183" spans="1:8" ht="15.5">
      <c r="A183" s="7">
        <v>207</v>
      </c>
      <c r="B183" s="8" t="s">
        <v>5</v>
      </c>
      <c r="C183" s="7">
        <v>52901</v>
      </c>
      <c r="D183" s="20" t="s">
        <v>98</v>
      </c>
      <c r="E183" s="8" t="s">
        <v>107</v>
      </c>
      <c r="F183" s="9">
        <v>5958934</v>
      </c>
      <c r="G183" s="9">
        <f>F183-900000</f>
        <v>5058934</v>
      </c>
      <c r="H183" s="9">
        <f>G183-F183</f>
        <v>-900000</v>
      </c>
    </row>
    <row r="184" spans="1:8" ht="15.5">
      <c r="A184" s="4"/>
      <c r="B184" s="4"/>
      <c r="C184" s="4"/>
      <c r="D184" s="10"/>
      <c r="E184" s="4"/>
      <c r="F184" s="5"/>
      <c r="G184" s="11" t="s">
        <v>17</v>
      </c>
      <c r="H184" s="93">
        <f>SUM(H183:H183)</f>
        <v>-900000</v>
      </c>
    </row>
    <row r="186" spans="1:8" ht="15.5">
      <c r="A186" s="13" t="s">
        <v>1</v>
      </c>
      <c r="B186" s="14"/>
      <c r="C186" s="15"/>
      <c r="D186" s="16"/>
      <c r="E186" s="17"/>
      <c r="F186" s="15"/>
      <c r="G186" s="15"/>
      <c r="H186" s="17"/>
    </row>
    <row r="187" spans="1:8" ht="15">
      <c r="A187" s="13" t="s">
        <v>4</v>
      </c>
      <c r="B187" s="18" t="s">
        <v>19</v>
      </c>
      <c r="C187" s="18" t="s">
        <v>20</v>
      </c>
      <c r="D187" s="18" t="s">
        <v>21</v>
      </c>
      <c r="E187" s="19"/>
      <c r="F187" s="19" t="s">
        <v>9</v>
      </c>
      <c r="G187" s="13" t="s">
        <v>10</v>
      </c>
      <c r="H187" s="13" t="s">
        <v>22</v>
      </c>
    </row>
    <row r="188" spans="1:8" ht="15.5">
      <c r="A188" s="20">
        <v>210</v>
      </c>
      <c r="B188" s="20">
        <v>2024</v>
      </c>
      <c r="C188" s="20" t="s">
        <v>98</v>
      </c>
      <c r="D188" s="21" t="s">
        <v>54</v>
      </c>
      <c r="E188" s="22"/>
      <c r="F188" s="23">
        <v>112201878</v>
      </c>
      <c r="G188" s="23">
        <f>F188-500000</f>
        <v>111701878</v>
      </c>
      <c r="H188" s="23">
        <f>G188-F188</f>
        <v>-500000</v>
      </c>
    </row>
    <row r="189" spans="1:8" ht="15.5">
      <c r="A189" s="20">
        <v>210</v>
      </c>
      <c r="B189" s="20">
        <v>2025</v>
      </c>
      <c r="C189" s="20" t="s">
        <v>98</v>
      </c>
      <c r="D189" s="21" t="s">
        <v>54</v>
      </c>
      <c r="E189" s="22"/>
      <c r="F189" s="23">
        <v>113192024</v>
      </c>
      <c r="G189" s="23">
        <f>F189-1000000</f>
        <v>112192024</v>
      </c>
      <c r="H189" s="23">
        <f aca="true" t="shared" si="20" ref="H189:H191">G189-F189</f>
        <v>-1000000</v>
      </c>
    </row>
    <row r="190" spans="1:8" ht="15.5">
      <c r="A190" s="20">
        <v>210</v>
      </c>
      <c r="B190" s="20">
        <v>2026</v>
      </c>
      <c r="C190" s="20" t="s">
        <v>98</v>
      </c>
      <c r="D190" s="21" t="s">
        <v>54</v>
      </c>
      <c r="E190" s="22"/>
      <c r="F190" s="23">
        <v>114195552</v>
      </c>
      <c r="G190" s="23">
        <f>F190-1000000</f>
        <v>113195552</v>
      </c>
      <c r="H190" s="23">
        <f t="shared" si="20"/>
        <v>-1000000</v>
      </c>
    </row>
    <row r="191" spans="1:8" ht="15.5">
      <c r="A191" s="20">
        <v>210</v>
      </c>
      <c r="B191" s="20">
        <v>2027</v>
      </c>
      <c r="C191" s="20" t="s">
        <v>98</v>
      </c>
      <c r="D191" s="21" t="s">
        <v>54</v>
      </c>
      <c r="E191" s="22"/>
      <c r="F191" s="23">
        <v>115427195</v>
      </c>
      <c r="G191" s="23">
        <f>F191</f>
        <v>115427195</v>
      </c>
      <c r="H191" s="23">
        <f t="shared" si="20"/>
        <v>0</v>
      </c>
    </row>
    <row r="192" spans="1:8" ht="15.5">
      <c r="A192" s="15"/>
      <c r="B192" s="14"/>
      <c r="C192" s="15"/>
      <c r="D192" s="15"/>
      <c r="E192" s="16"/>
      <c r="F192" s="16"/>
      <c r="G192" s="27" t="s">
        <v>25</v>
      </c>
      <c r="H192" s="48">
        <f>SUM(H188:H191)</f>
        <v>-2500000</v>
      </c>
    </row>
    <row r="193" spans="1:8" ht="15.5">
      <c r="A193" s="15"/>
      <c r="B193" s="14"/>
      <c r="C193" s="15"/>
      <c r="D193" s="15"/>
      <c r="E193" s="16"/>
      <c r="F193" s="16"/>
      <c r="G193" s="27"/>
      <c r="H193" s="48"/>
    </row>
  </sheetData>
  <printOptions/>
  <pageMargins left="0.7" right="0.7" top="0.75" bottom="0.75" header="0.3" footer="0.3"/>
  <pageSetup fitToHeight="0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3"/>
  <sheetViews>
    <sheetView workbookViewId="0" topLeftCell="A1">
      <selection activeCell="C12" sqref="C12"/>
    </sheetView>
  </sheetViews>
  <sheetFormatPr defaultColWidth="9.140625" defaultRowHeight="15"/>
  <cols>
    <col min="3" max="3" width="11.28125" style="0" customWidth="1"/>
    <col min="4" max="4" width="17.28125" style="0" customWidth="1"/>
    <col min="5" max="5" width="75.28125" style="0" bestFit="1" customWidth="1"/>
    <col min="6" max="8" width="15.7109375" style="0" customWidth="1"/>
    <col min="11" max="11" width="11.57421875" style="0" bestFit="1" customWidth="1"/>
  </cols>
  <sheetData>
    <row r="1" ht="17.5">
      <c r="A1" s="1" t="s">
        <v>123</v>
      </c>
    </row>
    <row r="2" ht="15">
      <c r="A2" t="s">
        <v>0</v>
      </c>
    </row>
    <row r="4" spans="1:8" ht="15.5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</row>
    <row r="5" spans="1:8" ht="15.5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</row>
    <row r="6" spans="1:8" ht="15.5">
      <c r="A6" s="7">
        <v>58</v>
      </c>
      <c r="B6" s="8" t="s">
        <v>12</v>
      </c>
      <c r="C6" s="7">
        <v>78075</v>
      </c>
      <c r="D6" s="7" t="s">
        <v>124</v>
      </c>
      <c r="E6" s="8" t="s">
        <v>125</v>
      </c>
      <c r="F6" s="9">
        <f>C6*9</f>
        <v>702675</v>
      </c>
      <c r="G6" s="9">
        <v>730229.76</v>
      </c>
      <c r="H6" s="9">
        <f>G6-F6</f>
        <v>27554.76000000001</v>
      </c>
    </row>
    <row r="7" spans="1:8" ht="15.5">
      <c r="A7" s="7">
        <v>58</v>
      </c>
      <c r="B7" s="8" t="s">
        <v>12</v>
      </c>
      <c r="C7" s="7">
        <v>52201</v>
      </c>
      <c r="D7" s="7" t="s">
        <v>124</v>
      </c>
      <c r="E7" s="8" t="s">
        <v>51</v>
      </c>
      <c r="F7" s="9">
        <f>0.0765*F6</f>
        <v>53754.6375</v>
      </c>
      <c r="G7" s="9">
        <v>55862.57664</v>
      </c>
      <c r="H7" s="9">
        <f aca="true" t="shared" si="0" ref="H7:H8">G7-F7</f>
        <v>2107.939140000002</v>
      </c>
    </row>
    <row r="8" spans="1:8" ht="15.5">
      <c r="A8" s="7">
        <v>58</v>
      </c>
      <c r="B8" s="8" t="s">
        <v>12</v>
      </c>
      <c r="C8" s="7">
        <v>52111</v>
      </c>
      <c r="D8" s="7" t="s">
        <v>124</v>
      </c>
      <c r="E8" s="8" t="s">
        <v>87</v>
      </c>
      <c r="F8" s="9">
        <v>13364.3747475</v>
      </c>
      <c r="G8" s="9">
        <v>13836.820396032</v>
      </c>
      <c r="H8" s="9">
        <f t="shared" si="0"/>
        <v>472.44564853200063</v>
      </c>
    </row>
    <row r="9" spans="1:8" ht="15.5">
      <c r="A9" s="4"/>
      <c r="B9" s="4"/>
      <c r="C9" s="4"/>
      <c r="D9" s="10"/>
      <c r="E9" s="4"/>
      <c r="F9" s="5"/>
      <c r="G9" s="11" t="s">
        <v>17</v>
      </c>
      <c r="H9" s="93">
        <f>SUM(H6:H8)</f>
        <v>30135.144788532012</v>
      </c>
    </row>
    <row r="12" spans="1:8" ht="15.5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8" ht="15">
      <c r="A13" s="13" t="s">
        <v>4</v>
      </c>
      <c r="B13" s="18" t="s">
        <v>19</v>
      </c>
      <c r="C13" s="18" t="s">
        <v>20</v>
      </c>
      <c r="D13" s="18" t="s">
        <v>21</v>
      </c>
      <c r="E13" s="19"/>
      <c r="F13" s="19" t="s">
        <v>9</v>
      </c>
      <c r="G13" s="13" t="s">
        <v>10</v>
      </c>
      <c r="H13" s="13" t="s">
        <v>22</v>
      </c>
    </row>
    <row r="14" spans="1:8" ht="15.5">
      <c r="A14" s="20">
        <v>60</v>
      </c>
      <c r="B14" s="20">
        <v>2024</v>
      </c>
      <c r="C14" s="7" t="s">
        <v>124</v>
      </c>
      <c r="D14" s="21" t="s">
        <v>53</v>
      </c>
      <c r="E14" s="22"/>
      <c r="F14" s="23">
        <v>2300704</v>
      </c>
      <c r="G14" s="23">
        <f>F14+(9*'[3]Position Calculator (2)'!$C$38)</f>
        <v>2328809.8552</v>
      </c>
      <c r="H14" s="23">
        <f>G14-F14</f>
        <v>28105.855200000107</v>
      </c>
    </row>
    <row r="15" spans="1:8" ht="15.5">
      <c r="A15" s="20">
        <v>60</v>
      </c>
      <c r="B15" s="20">
        <v>2024</v>
      </c>
      <c r="C15" s="7" t="s">
        <v>124</v>
      </c>
      <c r="D15" s="21" t="s">
        <v>54</v>
      </c>
      <c r="E15" s="22"/>
      <c r="F15" s="23">
        <v>650066</v>
      </c>
      <c r="G15" s="23">
        <f>F15+(9*'[3]Position Calculator (2)'!$C$48)</f>
        <v>652697.9924843026</v>
      </c>
      <c r="H15" s="23">
        <f aca="true" t="shared" si="1" ref="H15:H21">G15-F15</f>
        <v>2631.9924843026092</v>
      </c>
    </row>
    <row r="16" spans="1:8" ht="15.5">
      <c r="A16" s="20">
        <v>60</v>
      </c>
      <c r="B16" s="20">
        <v>2025</v>
      </c>
      <c r="C16" s="7" t="s">
        <v>124</v>
      </c>
      <c r="D16" s="21" t="s">
        <v>53</v>
      </c>
      <c r="E16" s="22"/>
      <c r="F16" s="23">
        <v>2324465</v>
      </c>
      <c r="G16" s="23">
        <f>F16+(9*'[3]Position Calculator (2)'!$D$38)</f>
        <v>2353132.972304</v>
      </c>
      <c r="H16" s="23">
        <f t="shared" si="1"/>
        <v>28667.972304000054</v>
      </c>
    </row>
    <row r="17" spans="1:8" ht="15.5">
      <c r="A17" s="20">
        <v>60</v>
      </c>
      <c r="B17" s="20">
        <v>2025</v>
      </c>
      <c r="C17" s="7" t="s">
        <v>124</v>
      </c>
      <c r="D17" s="21" t="s">
        <v>54</v>
      </c>
      <c r="E17" s="22"/>
      <c r="F17" s="23">
        <v>675286</v>
      </c>
      <c r="G17" s="23">
        <f>F17+(9*'[3]Position Calculator (2)'!$D$48)</f>
        <v>677970.6323339887</v>
      </c>
      <c r="H17" s="23">
        <f t="shared" si="1"/>
        <v>2684.632333988673</v>
      </c>
    </row>
    <row r="18" spans="1:8" ht="15.5">
      <c r="A18" s="20">
        <v>60</v>
      </c>
      <c r="B18" s="20">
        <v>2026</v>
      </c>
      <c r="C18" s="7" t="s">
        <v>124</v>
      </c>
      <c r="D18" s="21" t="s">
        <v>53</v>
      </c>
      <c r="E18" s="22"/>
      <c r="F18" s="23">
        <v>2347700</v>
      </c>
      <c r="G18" s="23">
        <f>F18+(9*'[3]Position Calculator (2)'!$E$38)</f>
        <v>2376941.33175008</v>
      </c>
      <c r="H18" s="23">
        <f t="shared" si="1"/>
        <v>29241.33175007999</v>
      </c>
    </row>
    <row r="19" spans="1:8" ht="15.5">
      <c r="A19" s="20">
        <v>60</v>
      </c>
      <c r="B19" s="20">
        <v>2026</v>
      </c>
      <c r="C19" s="7" t="s">
        <v>124</v>
      </c>
      <c r="D19" s="21" t="s">
        <v>54</v>
      </c>
      <c r="E19" s="22"/>
      <c r="F19" s="23">
        <v>701928</v>
      </c>
      <c r="G19" s="23">
        <f>F19+(9*'[3]Position Calculator (2)'!$E$48)</f>
        <v>704666.3249806685</v>
      </c>
      <c r="H19" s="23">
        <f t="shared" si="1"/>
        <v>2738.3249806684908</v>
      </c>
    </row>
    <row r="20" spans="1:8" ht="15.5">
      <c r="A20" s="20">
        <v>60</v>
      </c>
      <c r="B20" s="20">
        <v>2027</v>
      </c>
      <c r="C20" s="7" t="s">
        <v>124</v>
      </c>
      <c r="D20" s="21" t="s">
        <v>53</v>
      </c>
      <c r="E20" s="22"/>
      <c r="F20" s="23">
        <v>2395673</v>
      </c>
      <c r="G20" s="23">
        <f>F20+(9*'[3]Position Calculator (2)'!$F$38)</f>
        <v>2425499.1583850817</v>
      </c>
      <c r="H20" s="23">
        <f t="shared" si="1"/>
        <v>29826.158385081682</v>
      </c>
    </row>
    <row r="21" spans="1:8" ht="15.5">
      <c r="A21" s="20">
        <v>60</v>
      </c>
      <c r="B21" s="20">
        <v>2027</v>
      </c>
      <c r="C21" s="7" t="s">
        <v>124</v>
      </c>
      <c r="D21" s="21" t="s">
        <v>54</v>
      </c>
      <c r="E21" s="22"/>
      <c r="F21" s="23">
        <v>732186</v>
      </c>
      <c r="G21" s="23">
        <f>F21+(9*'[3]Position Calculator (2)'!$F$48)</f>
        <v>734979.0914802818</v>
      </c>
      <c r="H21" s="23">
        <f t="shared" si="1"/>
        <v>2793.091480281786</v>
      </c>
    </row>
    <row r="22" spans="1:8" ht="15.5">
      <c r="A22" s="15"/>
      <c r="B22" s="14"/>
      <c r="C22" s="15"/>
      <c r="D22" s="15"/>
      <c r="E22" s="16"/>
      <c r="F22" s="16"/>
      <c r="G22" s="27" t="s">
        <v>25</v>
      </c>
      <c r="H22" s="48">
        <f>SUM(H14:H21)</f>
        <v>126689.35891840339</v>
      </c>
    </row>
    <row r="23" spans="1:8" ht="15.5">
      <c r="A23" s="24"/>
      <c r="B23" s="24"/>
      <c r="C23" s="24"/>
      <c r="D23" s="25"/>
      <c r="E23" s="25"/>
      <c r="F23" s="26"/>
      <c r="G23" s="26"/>
      <c r="H23" s="26"/>
    </row>
  </sheetData>
  <printOptions/>
  <pageMargins left="0.7" right="0.7" top="0.75" bottom="0.75" header="0.3" footer="0.3"/>
  <pageSetup fitToHeight="0" fitToWidth="1" horizontalDpi="600" verticalDpi="600"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workbookViewId="0" topLeftCell="A1"/>
  </sheetViews>
  <sheetFormatPr defaultColWidth="9.28125" defaultRowHeight="15"/>
  <cols>
    <col min="1" max="1" width="9.00390625" style="104" customWidth="1"/>
    <col min="2" max="2" width="10.28125" style="103" bestFit="1" customWidth="1"/>
    <col min="3" max="3" width="13.28125" style="104" bestFit="1" customWidth="1"/>
    <col min="4" max="4" width="69.28125" style="104" bestFit="1" customWidth="1"/>
    <col min="5" max="5" width="11.57421875" style="104" bestFit="1" customWidth="1"/>
    <col min="6" max="6" width="12.140625" style="104" bestFit="1" customWidth="1"/>
    <col min="7" max="7" width="12.28125" style="104" bestFit="1" customWidth="1"/>
    <col min="8" max="9" width="12.421875" style="104" bestFit="1" customWidth="1"/>
    <col min="10" max="10" width="12.28125" style="104" bestFit="1" customWidth="1"/>
    <col min="11" max="11" width="12.421875" style="104" bestFit="1" customWidth="1"/>
    <col min="12" max="12" width="13.28125" style="104" bestFit="1" customWidth="1"/>
    <col min="13" max="13" width="11.28125" style="104" bestFit="1" customWidth="1"/>
    <col min="14" max="15" width="12.421875" style="104" bestFit="1" customWidth="1"/>
    <col min="16" max="16" width="11.28125" style="104" bestFit="1" customWidth="1"/>
    <col min="17" max="18" width="12.421875" style="104" bestFit="1" customWidth="1"/>
    <col min="19" max="19" width="11.28125" style="104" bestFit="1" customWidth="1"/>
    <col min="20" max="20" width="14.7109375" style="104" bestFit="1" customWidth="1"/>
    <col min="21" max="21" width="9.28125" style="104" customWidth="1"/>
    <col min="22" max="22" width="11.28125" style="104" bestFit="1" customWidth="1"/>
    <col min="23" max="16384" width="9.28125" style="104" customWidth="1"/>
  </cols>
  <sheetData>
    <row r="1" spans="1:12" ht="15">
      <c r="A1" s="102" t="s">
        <v>126</v>
      </c>
      <c r="F1" s="102"/>
      <c r="G1" s="105"/>
      <c r="H1" s="105"/>
      <c r="I1" s="105"/>
      <c r="J1" s="105"/>
      <c r="K1" s="105"/>
      <c r="L1" s="106"/>
    </row>
    <row r="2" spans="6:12" ht="15">
      <c r="F2" s="102"/>
      <c r="G2" s="105"/>
      <c r="H2" s="105"/>
      <c r="I2" s="105"/>
      <c r="J2" s="105"/>
      <c r="K2" s="105"/>
      <c r="L2" s="106"/>
    </row>
    <row r="3" ht="15">
      <c r="A3" s="107"/>
    </row>
    <row r="4" ht="15">
      <c r="A4" s="108" t="s">
        <v>127</v>
      </c>
    </row>
    <row r="5" spans="1:12" ht="15">
      <c r="A5" s="109" t="s">
        <v>1</v>
      </c>
      <c r="B5" s="109" t="s">
        <v>2</v>
      </c>
      <c r="C5" s="189" t="s">
        <v>128</v>
      </c>
      <c r="D5" s="110"/>
      <c r="E5" s="191">
        <v>2023</v>
      </c>
      <c r="F5" s="191"/>
      <c r="G5" s="192"/>
      <c r="H5" s="111">
        <v>2024</v>
      </c>
      <c r="I5" s="111">
        <v>2025</v>
      </c>
      <c r="J5" s="111">
        <v>2026</v>
      </c>
      <c r="K5" s="111">
        <v>2027</v>
      </c>
      <c r="L5" s="111" t="s">
        <v>129</v>
      </c>
    </row>
    <row r="6" spans="1:13" ht="15">
      <c r="A6" s="112" t="s">
        <v>4</v>
      </c>
      <c r="B6" s="112" t="s">
        <v>5</v>
      </c>
      <c r="C6" s="190"/>
      <c r="D6" s="113" t="s">
        <v>130</v>
      </c>
      <c r="E6" s="114" t="s">
        <v>9</v>
      </c>
      <c r="F6" s="115" t="s">
        <v>10</v>
      </c>
      <c r="G6" s="115" t="s">
        <v>131</v>
      </c>
      <c r="H6" s="115" t="s">
        <v>22</v>
      </c>
      <c r="I6" s="115" t="s">
        <v>22</v>
      </c>
      <c r="J6" s="115" t="s">
        <v>22</v>
      </c>
      <c r="K6" s="115" t="s">
        <v>22</v>
      </c>
      <c r="L6" s="115" t="s">
        <v>132</v>
      </c>
      <c r="M6" s="116"/>
    </row>
    <row r="7" spans="1:12" ht="15">
      <c r="A7" s="103">
        <v>68</v>
      </c>
      <c r="B7" s="103" t="s">
        <v>12</v>
      </c>
      <c r="C7" s="103">
        <v>51101</v>
      </c>
      <c r="D7" s="104" t="s">
        <v>133</v>
      </c>
      <c r="E7" s="117">
        <v>0</v>
      </c>
      <c r="F7" s="117">
        <v>56652.34</v>
      </c>
      <c r="G7" s="117">
        <f>F7-E7</f>
        <v>56652.34</v>
      </c>
      <c r="H7" s="117">
        <v>57785.3868</v>
      </c>
      <c r="I7" s="117">
        <v>58941.094536000004</v>
      </c>
      <c r="J7" s="117">
        <v>60119.91642672</v>
      </c>
      <c r="K7" s="117">
        <v>61322.3147552544</v>
      </c>
      <c r="L7" s="118">
        <f>SUM(G7:K7)</f>
        <v>294821.0525179744</v>
      </c>
    </row>
    <row r="8" spans="1:14" ht="15">
      <c r="A8" s="103">
        <v>70</v>
      </c>
      <c r="B8" s="103" t="s">
        <v>12</v>
      </c>
      <c r="C8" s="103">
        <v>52101</v>
      </c>
      <c r="D8" s="119" t="s">
        <v>71</v>
      </c>
      <c r="E8" s="117">
        <v>0</v>
      </c>
      <c r="F8" s="117">
        <v>8654.16</v>
      </c>
      <c r="G8" s="117">
        <f aca="true" t="shared" si="0" ref="G8:G10">F8-E8</f>
        <v>8654.16</v>
      </c>
      <c r="H8" s="117">
        <v>9173.41</v>
      </c>
      <c r="I8" s="117">
        <v>9723.81</v>
      </c>
      <c r="J8" s="117">
        <v>10307.1</v>
      </c>
      <c r="K8" s="117">
        <v>10925.88</v>
      </c>
      <c r="L8" s="118">
        <f aca="true" t="shared" si="1" ref="L8:L10">SUM(G8:K8)</f>
        <v>48784.35999999999</v>
      </c>
      <c r="M8" s="107"/>
      <c r="N8" s="120"/>
    </row>
    <row r="9" spans="1:12" ht="15">
      <c r="A9" s="103">
        <v>70</v>
      </c>
      <c r="B9" s="103" t="s">
        <v>12</v>
      </c>
      <c r="C9" s="103">
        <v>52111</v>
      </c>
      <c r="D9" s="121" t="s">
        <v>50</v>
      </c>
      <c r="E9" s="117">
        <v>0</v>
      </c>
      <c r="F9" s="117">
        <v>1117.623590150769</v>
      </c>
      <c r="G9" s="117">
        <f t="shared" si="0"/>
        <v>1117.623590150769</v>
      </c>
      <c r="H9" s="117">
        <v>1137.0504619537844</v>
      </c>
      <c r="I9" s="117">
        <v>1156.8658711928604</v>
      </c>
      <c r="J9" s="117">
        <v>1177.0775886167173</v>
      </c>
      <c r="K9" s="117">
        <v>1197.6935403890516</v>
      </c>
      <c r="L9" s="118">
        <f t="shared" si="1"/>
        <v>5786.311052303183</v>
      </c>
    </row>
    <row r="10" spans="1:12" ht="15">
      <c r="A10" s="103">
        <v>70</v>
      </c>
      <c r="B10" s="103" t="s">
        <v>12</v>
      </c>
      <c r="C10" s="103">
        <v>52201</v>
      </c>
      <c r="D10" s="121" t="s">
        <v>134</v>
      </c>
      <c r="E10" s="117">
        <v>0</v>
      </c>
      <c r="F10" s="117">
        <v>4333.90401</v>
      </c>
      <c r="G10" s="117">
        <f t="shared" si="0"/>
        <v>4333.90401</v>
      </c>
      <c r="H10" s="117">
        <v>4420.5820902</v>
      </c>
      <c r="I10" s="117">
        <v>4508.993732004</v>
      </c>
      <c r="J10" s="117">
        <v>4599.17360664408</v>
      </c>
      <c r="K10" s="117">
        <v>4691.1570787769615</v>
      </c>
      <c r="L10" s="118">
        <f t="shared" si="1"/>
        <v>22553.81051762504</v>
      </c>
    </row>
    <row r="11" spans="1:12" ht="15">
      <c r="A11" s="103"/>
      <c r="B11" s="122"/>
      <c r="C11" s="103"/>
      <c r="D11" s="121"/>
      <c r="E11" s="117"/>
      <c r="F11" s="117"/>
      <c r="G11" s="117"/>
      <c r="H11" s="117"/>
      <c r="I11" s="117"/>
      <c r="J11" s="117"/>
      <c r="K11" s="117"/>
      <c r="L11" s="118"/>
    </row>
    <row r="12" spans="1:12" ht="15">
      <c r="A12" s="103"/>
      <c r="C12" s="103"/>
      <c r="E12" s="117"/>
      <c r="F12" s="102" t="s">
        <v>131</v>
      </c>
      <c r="G12" s="105">
        <f>SUM(G7:G10)</f>
        <v>70758.02760015077</v>
      </c>
      <c r="H12" s="105">
        <f aca="true" t="shared" si="2" ref="H12:L12">SUM(H7:H10)</f>
        <v>72516.42935215378</v>
      </c>
      <c r="I12" s="105">
        <f t="shared" si="2"/>
        <v>74330.76413919686</v>
      </c>
      <c r="J12" s="105">
        <f t="shared" si="2"/>
        <v>76203.26762198079</v>
      </c>
      <c r="K12" s="105">
        <f t="shared" si="2"/>
        <v>78137.04537442041</v>
      </c>
      <c r="L12" s="106">
        <f t="shared" si="2"/>
        <v>371945.53408790263</v>
      </c>
    </row>
    <row r="13" spans="1:12" ht="15">
      <c r="A13" s="103"/>
      <c r="C13" s="103"/>
      <c r="E13" s="117"/>
      <c r="F13" s="102"/>
      <c r="G13" s="105"/>
      <c r="H13" s="105"/>
      <c r="I13" s="105"/>
      <c r="J13" s="105"/>
      <c r="K13" s="105"/>
      <c r="L13" s="106"/>
    </row>
    <row r="14" spans="1:14" ht="15">
      <c r="A14" s="102" t="s">
        <v>135</v>
      </c>
      <c r="N14" s="120"/>
    </row>
    <row r="15" spans="1:12" ht="15">
      <c r="A15" s="109" t="s">
        <v>1</v>
      </c>
      <c r="B15" s="109" t="s">
        <v>2</v>
      </c>
      <c r="C15" s="189" t="s">
        <v>128</v>
      </c>
      <c r="D15" s="110"/>
      <c r="E15" s="191">
        <v>2023</v>
      </c>
      <c r="F15" s="191"/>
      <c r="G15" s="192"/>
      <c r="H15" s="111">
        <v>2024</v>
      </c>
      <c r="I15" s="111">
        <v>2025</v>
      </c>
      <c r="J15" s="111">
        <v>2026</v>
      </c>
      <c r="K15" s="111">
        <v>2027</v>
      </c>
      <c r="L15" s="111" t="s">
        <v>129</v>
      </c>
    </row>
    <row r="16" spans="1:12" ht="15">
      <c r="A16" s="112" t="s">
        <v>4</v>
      </c>
      <c r="B16" s="112" t="s">
        <v>5</v>
      </c>
      <c r="C16" s="190"/>
      <c r="D16" s="113" t="s">
        <v>136</v>
      </c>
      <c r="E16" s="114" t="s">
        <v>9</v>
      </c>
      <c r="F16" s="115" t="s">
        <v>10</v>
      </c>
      <c r="G16" s="115" t="s">
        <v>131</v>
      </c>
      <c r="H16" s="115" t="s">
        <v>22</v>
      </c>
      <c r="I16" s="115" t="s">
        <v>22</v>
      </c>
      <c r="J16" s="115" t="s">
        <v>22</v>
      </c>
      <c r="K16" s="115" t="s">
        <v>22</v>
      </c>
      <c r="L16" s="115" t="s">
        <v>132</v>
      </c>
    </row>
    <row r="17" spans="1:13" ht="15">
      <c r="A17" s="103">
        <v>141</v>
      </c>
      <c r="B17" s="103" t="s">
        <v>5</v>
      </c>
      <c r="C17" s="103">
        <v>51101</v>
      </c>
      <c r="D17" s="104" t="s">
        <v>137</v>
      </c>
      <c r="E17" s="117">
        <v>54260.14</v>
      </c>
      <c r="F17" s="117">
        <v>0</v>
      </c>
      <c r="G17" s="117">
        <f>F17-E17</f>
        <v>-54260.14</v>
      </c>
      <c r="H17" s="117">
        <v>-55345.3428</v>
      </c>
      <c r="I17" s="117">
        <v>-56452.249656</v>
      </c>
      <c r="J17" s="117">
        <v>-57581.29464912</v>
      </c>
      <c r="K17" s="117">
        <v>-58732.9205421024</v>
      </c>
      <c r="L17" s="118">
        <f>SUM(G17:K17)</f>
        <v>-282371.94764722243</v>
      </c>
      <c r="M17" s="107"/>
    </row>
    <row r="18" spans="1:12" ht="15">
      <c r="A18" s="103">
        <v>142</v>
      </c>
      <c r="B18" s="103" t="s">
        <v>5</v>
      </c>
      <c r="C18" s="103">
        <v>52101</v>
      </c>
      <c r="D18" s="119" t="s">
        <v>71</v>
      </c>
      <c r="E18" s="117">
        <v>8654.16</v>
      </c>
      <c r="F18" s="117">
        <v>0</v>
      </c>
      <c r="G18" s="117">
        <f aca="true" t="shared" si="3" ref="G18:G20">F18-E18</f>
        <v>-8654.16</v>
      </c>
      <c r="H18" s="117">
        <v>-9173.41</v>
      </c>
      <c r="I18" s="117">
        <v>-9723.81</v>
      </c>
      <c r="J18" s="117">
        <v>-10307.1</v>
      </c>
      <c r="K18" s="117">
        <v>-10925.88</v>
      </c>
      <c r="L18" s="118">
        <f aca="true" t="shared" si="4" ref="L18:L20">SUM(G18:K18)</f>
        <v>-48784.35999999999</v>
      </c>
    </row>
    <row r="19" spans="1:12" ht="15">
      <c r="A19" s="103">
        <v>142</v>
      </c>
      <c r="B19" s="103" t="s">
        <v>5</v>
      </c>
      <c r="C19" s="103">
        <v>52111</v>
      </c>
      <c r="D19" s="121" t="s">
        <v>50</v>
      </c>
      <c r="E19" s="117">
        <v>1076.6076650123075</v>
      </c>
      <c r="F19" s="117">
        <v>0</v>
      </c>
      <c r="G19" s="117">
        <f t="shared" si="3"/>
        <v>-1076.6076650123075</v>
      </c>
      <c r="H19" s="117">
        <v>-1095.2142183125538</v>
      </c>
      <c r="I19" s="117">
        <v>-1114.1929026788048</v>
      </c>
      <c r="J19" s="117">
        <v>-1133.5511607323808</v>
      </c>
      <c r="K19" s="117">
        <v>-1153.2965839470287</v>
      </c>
      <c r="L19" s="118">
        <f t="shared" si="4"/>
        <v>-5572.862530683075</v>
      </c>
    </row>
    <row r="20" spans="1:12" ht="15">
      <c r="A20" s="103">
        <v>142</v>
      </c>
      <c r="B20" s="103" t="s">
        <v>5</v>
      </c>
      <c r="C20" s="103">
        <v>52201</v>
      </c>
      <c r="D20" s="121" t="s">
        <v>134</v>
      </c>
      <c r="E20" s="117">
        <v>4150.90071</v>
      </c>
      <c r="F20" s="117">
        <v>0</v>
      </c>
      <c r="G20" s="117">
        <f t="shared" si="3"/>
        <v>-4150.90071</v>
      </c>
      <c r="H20" s="117">
        <v>-4233.9187242</v>
      </c>
      <c r="I20" s="117">
        <v>-4318.597098684</v>
      </c>
      <c r="J20" s="117">
        <v>-4404.96904065768</v>
      </c>
      <c r="K20" s="117">
        <v>-4493.0684214708335</v>
      </c>
      <c r="L20" s="118">
        <f t="shared" si="4"/>
        <v>-21601.453995012514</v>
      </c>
    </row>
    <row r="22" spans="1:12" ht="15">
      <c r="A22" s="109" t="s">
        <v>1</v>
      </c>
      <c r="B22" s="109" t="s">
        <v>2</v>
      </c>
      <c r="C22" s="189" t="s">
        <v>128</v>
      </c>
      <c r="D22" s="110"/>
      <c r="E22" s="191">
        <v>2023</v>
      </c>
      <c r="F22" s="191"/>
      <c r="G22" s="192"/>
      <c r="H22" s="111">
        <v>2024</v>
      </c>
      <c r="I22" s="111">
        <v>2025</v>
      </c>
      <c r="J22" s="111">
        <v>2026</v>
      </c>
      <c r="K22" s="111">
        <v>2027</v>
      </c>
      <c r="L22" s="111" t="s">
        <v>129</v>
      </c>
    </row>
    <row r="23" spans="1:12" ht="15">
      <c r="A23" s="112" t="s">
        <v>4</v>
      </c>
      <c r="B23" s="112" t="s">
        <v>5</v>
      </c>
      <c r="C23" s="190"/>
      <c r="D23" s="113" t="s">
        <v>130</v>
      </c>
      <c r="E23" s="114" t="s">
        <v>9</v>
      </c>
      <c r="F23" s="115" t="s">
        <v>10</v>
      </c>
      <c r="G23" s="115" t="s">
        <v>131</v>
      </c>
      <c r="H23" s="115" t="s">
        <v>22</v>
      </c>
      <c r="I23" s="115" t="s">
        <v>22</v>
      </c>
      <c r="J23" s="115" t="s">
        <v>22</v>
      </c>
      <c r="K23" s="115" t="s">
        <v>22</v>
      </c>
      <c r="L23" s="115" t="s">
        <v>132</v>
      </c>
    </row>
    <row r="24" spans="1:12" ht="15">
      <c r="A24" s="103">
        <v>68</v>
      </c>
      <c r="B24" s="103" t="s">
        <v>12</v>
      </c>
      <c r="C24" s="103">
        <v>51101</v>
      </c>
      <c r="D24" s="104" t="s">
        <v>138</v>
      </c>
      <c r="E24" s="117">
        <v>0</v>
      </c>
      <c r="F24" s="117">
        <v>54260.14</v>
      </c>
      <c r="G24" s="117">
        <f>F24-E24</f>
        <v>54260.14</v>
      </c>
      <c r="H24" s="117">
        <v>55345.3428</v>
      </c>
      <c r="I24" s="117">
        <v>56452.249656</v>
      </c>
      <c r="J24" s="117">
        <v>57581.29464912</v>
      </c>
      <c r="K24" s="117">
        <v>58732.9205421024</v>
      </c>
      <c r="L24" s="118">
        <f>SUM(G24:K24)</f>
        <v>282371.94764722243</v>
      </c>
    </row>
    <row r="25" spans="1:12" ht="15">
      <c r="A25" s="103">
        <v>70</v>
      </c>
      <c r="B25" s="103" t="s">
        <v>12</v>
      </c>
      <c r="C25" s="103">
        <v>52101</v>
      </c>
      <c r="D25" s="119" t="s">
        <v>71</v>
      </c>
      <c r="E25" s="117">
        <v>0</v>
      </c>
      <c r="F25" s="117">
        <v>8654.16</v>
      </c>
      <c r="G25" s="117">
        <f aca="true" t="shared" si="5" ref="G25:G27">F25-E25</f>
        <v>8654.16</v>
      </c>
      <c r="H25" s="117">
        <v>9173.41</v>
      </c>
      <c r="I25" s="117">
        <v>9723.81</v>
      </c>
      <c r="J25" s="117">
        <v>10307.1</v>
      </c>
      <c r="K25" s="117">
        <v>10925.88</v>
      </c>
      <c r="L25" s="118">
        <f aca="true" t="shared" si="6" ref="L25:L27">SUM(G25:K25)</f>
        <v>48784.35999999999</v>
      </c>
    </row>
    <row r="26" spans="1:12" ht="15">
      <c r="A26" s="103">
        <v>70</v>
      </c>
      <c r="B26" s="103" t="s">
        <v>12</v>
      </c>
      <c r="C26" s="103">
        <v>52111</v>
      </c>
      <c r="D26" s="121" t="s">
        <v>50</v>
      </c>
      <c r="E26" s="117">
        <v>0</v>
      </c>
      <c r="F26" s="117">
        <v>1076.6076650123075</v>
      </c>
      <c r="G26" s="117">
        <f t="shared" si="5"/>
        <v>1076.6076650123075</v>
      </c>
      <c r="H26" s="117">
        <v>1095.2142183125538</v>
      </c>
      <c r="I26" s="117">
        <v>1114.1929026788048</v>
      </c>
      <c r="J26" s="117">
        <v>1133.5511607323808</v>
      </c>
      <c r="K26" s="117">
        <v>1153.2965839470287</v>
      </c>
      <c r="L26" s="118">
        <f t="shared" si="6"/>
        <v>5572.862530683075</v>
      </c>
    </row>
    <row r="27" spans="1:12" ht="15">
      <c r="A27" s="103">
        <v>70</v>
      </c>
      <c r="B27" s="103" t="s">
        <v>12</v>
      </c>
      <c r="C27" s="103">
        <v>52201</v>
      </c>
      <c r="D27" s="121" t="s">
        <v>134</v>
      </c>
      <c r="E27" s="117">
        <v>0</v>
      </c>
      <c r="F27" s="117">
        <v>4150.90071</v>
      </c>
      <c r="G27" s="117">
        <f t="shared" si="5"/>
        <v>4150.90071</v>
      </c>
      <c r="H27" s="117">
        <v>4233.9187242</v>
      </c>
      <c r="I27" s="117">
        <v>4318.597098684</v>
      </c>
      <c r="J27" s="117">
        <v>4404.96904065768</v>
      </c>
      <c r="K27" s="117">
        <v>4493.0684214708335</v>
      </c>
      <c r="L27" s="118">
        <f t="shared" si="6"/>
        <v>21601.453995012514</v>
      </c>
    </row>
    <row r="28" spans="1:12" ht="15">
      <c r="A28" s="103"/>
      <c r="B28" s="122"/>
      <c r="C28" s="103"/>
      <c r="D28" s="121"/>
      <c r="E28" s="117"/>
      <c r="F28" s="117"/>
      <c r="G28" s="117"/>
      <c r="H28" s="117"/>
      <c r="I28" s="117"/>
      <c r="J28" s="117"/>
      <c r="K28" s="117"/>
      <c r="L28" s="118"/>
    </row>
    <row r="29" spans="6:12" ht="15">
      <c r="F29" s="102" t="s">
        <v>131</v>
      </c>
      <c r="G29" s="105">
        <f>ROUND(SUM(G17:G20,G24:G27),2)</f>
        <v>0</v>
      </c>
      <c r="H29" s="105">
        <f aca="true" t="shared" si="7" ref="H29:L29">ROUND(SUM(H17:H20,H24:H27),2)</f>
        <v>0</v>
      </c>
      <c r="I29" s="105">
        <f t="shared" si="7"/>
        <v>0</v>
      </c>
      <c r="J29" s="105">
        <f t="shared" si="7"/>
        <v>0</v>
      </c>
      <c r="K29" s="105">
        <f t="shared" si="7"/>
        <v>0</v>
      </c>
      <c r="L29" s="106">
        <f t="shared" si="7"/>
        <v>0</v>
      </c>
    </row>
    <row r="30" spans="6:12" ht="15">
      <c r="F30" s="102"/>
      <c r="G30" s="105"/>
      <c r="H30" s="105"/>
      <c r="I30" s="105"/>
      <c r="J30" s="105"/>
      <c r="K30" s="105"/>
      <c r="L30" s="106"/>
    </row>
    <row r="31" ht="15">
      <c r="A31" s="102" t="s">
        <v>139</v>
      </c>
    </row>
    <row r="32" spans="1:12" ht="15">
      <c r="A32" s="109" t="s">
        <v>1</v>
      </c>
      <c r="B32" s="109" t="s">
        <v>2</v>
      </c>
      <c r="C32" s="189" t="s">
        <v>128</v>
      </c>
      <c r="D32" s="110"/>
      <c r="E32" s="191">
        <v>2023</v>
      </c>
      <c r="F32" s="191"/>
      <c r="G32" s="192"/>
      <c r="H32" s="111">
        <v>2024</v>
      </c>
      <c r="I32" s="111">
        <v>2025</v>
      </c>
      <c r="J32" s="111">
        <v>2026</v>
      </c>
      <c r="K32" s="111">
        <v>2027</v>
      </c>
      <c r="L32" s="111" t="s">
        <v>129</v>
      </c>
    </row>
    <row r="33" spans="1:12" ht="15">
      <c r="A33" s="112" t="s">
        <v>4</v>
      </c>
      <c r="B33" s="112" t="s">
        <v>5</v>
      </c>
      <c r="C33" s="190"/>
      <c r="D33" s="113" t="s">
        <v>140</v>
      </c>
      <c r="E33" s="114" t="s">
        <v>9</v>
      </c>
      <c r="F33" s="115" t="s">
        <v>10</v>
      </c>
      <c r="G33" s="115" t="s">
        <v>131</v>
      </c>
      <c r="H33" s="115" t="s">
        <v>22</v>
      </c>
      <c r="I33" s="115" t="s">
        <v>22</v>
      </c>
      <c r="J33" s="115" t="s">
        <v>22</v>
      </c>
      <c r="K33" s="115" t="s">
        <v>22</v>
      </c>
      <c r="L33" s="115" t="s">
        <v>132</v>
      </c>
    </row>
    <row r="34" spans="1:12" ht="15">
      <c r="A34" s="103">
        <v>78</v>
      </c>
      <c r="B34" s="103" t="s">
        <v>5</v>
      </c>
      <c r="C34" s="103">
        <v>51101</v>
      </c>
      <c r="D34" s="104" t="s">
        <v>141</v>
      </c>
      <c r="E34" s="117">
        <v>69810.96</v>
      </c>
      <c r="F34" s="117">
        <v>0</v>
      </c>
      <c r="G34" s="117">
        <f>F34-E34</f>
        <v>-69810.96</v>
      </c>
      <c r="H34" s="117">
        <v>-71207.17920000001</v>
      </c>
      <c r="I34" s="117">
        <v>-72631.32278400002</v>
      </c>
      <c r="J34" s="117">
        <v>-74083.94923968002</v>
      </c>
      <c r="K34" s="117">
        <v>-75565.62822447362</v>
      </c>
      <c r="L34" s="118">
        <f>SUM(G34:K34)</f>
        <v>-363299.0394481537</v>
      </c>
    </row>
    <row r="35" spans="1:12" ht="15">
      <c r="A35" s="103">
        <v>79</v>
      </c>
      <c r="B35" s="103" t="s">
        <v>5</v>
      </c>
      <c r="C35" s="103">
        <v>52101</v>
      </c>
      <c r="D35" s="119" t="s">
        <v>71</v>
      </c>
      <c r="E35" s="117">
        <v>17307.96</v>
      </c>
      <c r="F35" s="117">
        <v>0</v>
      </c>
      <c r="G35" s="117">
        <f aca="true" t="shared" si="8" ref="G35:G37">F35-E35</f>
        <v>-17307.96</v>
      </c>
      <c r="H35" s="117">
        <v>-18346.44</v>
      </c>
      <c r="I35" s="117">
        <v>-19447.22</v>
      </c>
      <c r="J35" s="117">
        <v>-20613.78</v>
      </c>
      <c r="K35" s="117">
        <v>-21851.3</v>
      </c>
      <c r="L35" s="118">
        <f aca="true" t="shared" si="9" ref="L35:L37">SUM(G35:K35)</f>
        <v>-97566.7</v>
      </c>
    </row>
    <row r="36" spans="1:12" ht="15">
      <c r="A36" s="103">
        <v>79</v>
      </c>
      <c r="B36" s="103" t="s">
        <v>5</v>
      </c>
      <c r="C36" s="103">
        <v>52111</v>
      </c>
      <c r="D36" s="121" t="s">
        <v>50</v>
      </c>
      <c r="E36" s="117">
        <v>1520.1172398646156</v>
      </c>
      <c r="F36" s="117">
        <v>0</v>
      </c>
      <c r="G36" s="117">
        <f t="shared" si="8"/>
        <v>-1520.1172398646156</v>
      </c>
      <c r="H36" s="117">
        <v>-1544.0563846619077</v>
      </c>
      <c r="I36" s="117">
        <v>-1568.4743123551461</v>
      </c>
      <c r="J36" s="117">
        <v>-1593.3805986022492</v>
      </c>
      <c r="K36" s="117">
        <v>-1618.785010574294</v>
      </c>
      <c r="L36" s="118">
        <f t="shared" si="9"/>
        <v>-7844.813546058212</v>
      </c>
    </row>
    <row r="37" spans="1:12" ht="15">
      <c r="A37" s="103">
        <v>79</v>
      </c>
      <c r="B37" s="103" t="s">
        <v>5</v>
      </c>
      <c r="C37" s="103">
        <v>52201</v>
      </c>
      <c r="D37" s="121" t="s">
        <v>134</v>
      </c>
      <c r="E37" s="117">
        <v>5340.53844</v>
      </c>
      <c r="F37" s="117">
        <v>0</v>
      </c>
      <c r="G37" s="117">
        <f t="shared" si="8"/>
        <v>-5340.53844</v>
      </c>
      <c r="H37" s="117">
        <v>-5447.3492088</v>
      </c>
      <c r="I37" s="117">
        <v>-5556.296192976001</v>
      </c>
      <c r="J37" s="117">
        <v>-5667.422116835522</v>
      </c>
      <c r="K37" s="117">
        <v>-5780.7705591722315</v>
      </c>
      <c r="L37" s="118">
        <f t="shared" si="9"/>
        <v>-27792.376517783756</v>
      </c>
    </row>
    <row r="38" spans="1:12" ht="15">
      <c r="A38" s="103">
        <v>78</v>
      </c>
      <c r="B38" s="103" t="s">
        <v>12</v>
      </c>
      <c r="C38" s="103">
        <v>51101</v>
      </c>
      <c r="D38" s="104" t="s">
        <v>142</v>
      </c>
      <c r="E38" s="117">
        <v>0</v>
      </c>
      <c r="F38" s="117">
        <v>82313.79</v>
      </c>
      <c r="G38" s="117">
        <f>F38-E38</f>
        <v>82313.79</v>
      </c>
      <c r="H38" s="117">
        <v>83960.0658</v>
      </c>
      <c r="I38" s="117">
        <v>85639.267116</v>
      </c>
      <c r="J38" s="117">
        <v>87352.05245832</v>
      </c>
      <c r="K38" s="117">
        <v>89099.09350748641</v>
      </c>
      <c r="L38" s="118">
        <f>SUM(G38:K38)</f>
        <v>428364.2688818064</v>
      </c>
    </row>
    <row r="39" spans="1:12" ht="15">
      <c r="A39" s="103">
        <v>79</v>
      </c>
      <c r="B39" s="103" t="s">
        <v>12</v>
      </c>
      <c r="C39" s="103">
        <v>52101</v>
      </c>
      <c r="D39" s="119" t="s">
        <v>71</v>
      </c>
      <c r="E39" s="117">
        <v>0</v>
      </c>
      <c r="F39" s="117">
        <v>17307.96</v>
      </c>
      <c r="G39" s="117">
        <f aca="true" t="shared" si="10" ref="G39:G41">F39-E39</f>
        <v>17307.96</v>
      </c>
      <c r="H39" s="117">
        <v>18346.44</v>
      </c>
      <c r="I39" s="117">
        <v>19447.22</v>
      </c>
      <c r="J39" s="117">
        <v>20613.78</v>
      </c>
      <c r="K39" s="117">
        <v>21851.3</v>
      </c>
      <c r="L39" s="118">
        <f aca="true" t="shared" si="11" ref="L39:L41">SUM(G39:K39)</f>
        <v>97566.7</v>
      </c>
    </row>
    <row r="40" spans="1:12" ht="15">
      <c r="A40" s="103">
        <v>79</v>
      </c>
      <c r="B40" s="103" t="s">
        <v>12</v>
      </c>
      <c r="C40" s="103">
        <v>52111</v>
      </c>
      <c r="D40" s="121" t="s">
        <v>50</v>
      </c>
      <c r="E40" s="117">
        <v>0</v>
      </c>
      <c r="F40" s="117">
        <v>1734.4869160199999</v>
      </c>
      <c r="G40" s="117">
        <f t="shared" si="10"/>
        <v>1734.4869160199999</v>
      </c>
      <c r="H40" s="117">
        <v>1762.7134543404</v>
      </c>
      <c r="I40" s="117">
        <v>1791.5045234272081</v>
      </c>
      <c r="J40" s="117">
        <v>1820.871413895752</v>
      </c>
      <c r="K40" s="117">
        <v>1850.8256421736673</v>
      </c>
      <c r="L40" s="118">
        <f t="shared" si="11"/>
        <v>8960.401949857027</v>
      </c>
    </row>
    <row r="41" spans="1:12" ht="15">
      <c r="A41" s="103">
        <v>79</v>
      </c>
      <c r="B41" s="103" t="s">
        <v>12</v>
      </c>
      <c r="C41" s="103">
        <v>52201</v>
      </c>
      <c r="D41" s="121" t="s">
        <v>134</v>
      </c>
      <c r="E41" s="117">
        <v>0</v>
      </c>
      <c r="F41" s="117">
        <v>6297.004934999999</v>
      </c>
      <c r="G41" s="117">
        <f t="shared" si="10"/>
        <v>6297.004934999999</v>
      </c>
      <c r="H41" s="117">
        <v>6422.9450337</v>
      </c>
      <c r="I41" s="117">
        <v>6551.4039343740005</v>
      </c>
      <c r="J41" s="117">
        <v>6682.43201306148</v>
      </c>
      <c r="K41" s="117">
        <v>6816.0806533227105</v>
      </c>
      <c r="L41" s="118">
        <f t="shared" si="11"/>
        <v>32769.86656945819</v>
      </c>
    </row>
    <row r="43" spans="6:12" ht="15">
      <c r="F43" s="102" t="s">
        <v>131</v>
      </c>
      <c r="G43" s="123">
        <f aca="true" t="shared" si="12" ref="G43:L43">SUM(G34:G41)</f>
        <v>13673.666171155359</v>
      </c>
      <c r="H43" s="123">
        <f t="shared" si="12"/>
        <v>13947.13949457847</v>
      </c>
      <c r="I43" s="123">
        <f t="shared" si="12"/>
        <v>14226.082284470041</v>
      </c>
      <c r="J43" s="123">
        <f t="shared" si="12"/>
        <v>14510.603930159436</v>
      </c>
      <c r="K43" s="123">
        <f t="shared" si="12"/>
        <v>14800.816008762631</v>
      </c>
      <c r="L43" s="124">
        <f t="shared" si="12"/>
        <v>71158.30788912598</v>
      </c>
    </row>
    <row r="45" ht="15">
      <c r="A45" s="102" t="s">
        <v>143</v>
      </c>
    </row>
    <row r="46" spans="1:12" ht="14.5" customHeight="1">
      <c r="A46" s="109" t="s">
        <v>1</v>
      </c>
      <c r="B46" s="109" t="s">
        <v>2</v>
      </c>
      <c r="C46" s="189" t="s">
        <v>128</v>
      </c>
      <c r="D46" s="110"/>
      <c r="E46" s="191">
        <v>2023</v>
      </c>
      <c r="F46" s="191"/>
      <c r="G46" s="192"/>
      <c r="H46" s="111">
        <v>2024</v>
      </c>
      <c r="I46" s="111">
        <v>2025</v>
      </c>
      <c r="J46" s="111">
        <v>2026</v>
      </c>
      <c r="K46" s="111">
        <v>2027</v>
      </c>
      <c r="L46" s="111" t="s">
        <v>129</v>
      </c>
    </row>
    <row r="47" spans="1:12" ht="15">
      <c r="A47" s="112" t="s">
        <v>4</v>
      </c>
      <c r="B47" s="112" t="s">
        <v>5</v>
      </c>
      <c r="C47" s="190"/>
      <c r="D47" s="113" t="s">
        <v>144</v>
      </c>
      <c r="E47" s="114" t="s">
        <v>9</v>
      </c>
      <c r="F47" s="115" t="s">
        <v>10</v>
      </c>
      <c r="G47" s="115" t="s">
        <v>131</v>
      </c>
      <c r="H47" s="115" t="s">
        <v>22</v>
      </c>
      <c r="I47" s="115" t="s">
        <v>22</v>
      </c>
      <c r="J47" s="115" t="s">
        <v>22</v>
      </c>
      <c r="K47" s="115" t="s">
        <v>22</v>
      </c>
      <c r="L47" s="115" t="s">
        <v>132</v>
      </c>
    </row>
    <row r="48" spans="1:12" ht="15">
      <c r="A48" s="103">
        <v>108</v>
      </c>
      <c r="B48" s="103" t="s">
        <v>12</v>
      </c>
      <c r="C48" s="103">
        <v>51101</v>
      </c>
      <c r="D48" s="104" t="s">
        <v>145</v>
      </c>
      <c r="E48" s="117">
        <v>10273.745</v>
      </c>
      <c r="F48" s="117">
        <v>11247.2875</v>
      </c>
      <c r="G48" s="117">
        <f>F48-E48</f>
        <v>973.5424999999996</v>
      </c>
      <c r="H48" s="117">
        <v>1002.748775</v>
      </c>
      <c r="I48" s="117">
        <v>1032.831238249999</v>
      </c>
      <c r="J48" s="117">
        <v>1053.4878630149979</v>
      </c>
      <c r="K48" s="117">
        <v>1074.5576202752982</v>
      </c>
      <c r="L48" s="118">
        <f>SUM(G48:K48)</f>
        <v>5137.167996540295</v>
      </c>
    </row>
    <row r="49" spans="1:12" ht="15">
      <c r="A49" s="103">
        <v>109</v>
      </c>
      <c r="B49" s="103" t="s">
        <v>12</v>
      </c>
      <c r="C49" s="103">
        <v>52101</v>
      </c>
      <c r="D49" s="119" t="s">
        <v>71</v>
      </c>
      <c r="E49" s="117">
        <v>2163.54</v>
      </c>
      <c r="F49" s="117">
        <v>2163.54</v>
      </c>
      <c r="G49" s="117">
        <f aca="true" t="shared" si="13" ref="G49:G51">F49-E49</f>
        <v>0</v>
      </c>
      <c r="H49" s="117">
        <v>0</v>
      </c>
      <c r="I49" s="117">
        <v>0</v>
      </c>
      <c r="J49" s="117">
        <v>0</v>
      </c>
      <c r="K49" s="117">
        <v>0</v>
      </c>
      <c r="L49" s="118">
        <f aca="true" t="shared" si="14" ref="L49:L51">SUM(G49:K49)</f>
        <v>0</v>
      </c>
    </row>
    <row r="50" spans="1:12" ht="15">
      <c r="A50" s="103">
        <v>109</v>
      </c>
      <c r="B50" s="103" t="s">
        <v>12</v>
      </c>
      <c r="C50" s="103">
        <v>52111</v>
      </c>
      <c r="D50" s="121" t="s">
        <v>50</v>
      </c>
      <c r="E50" s="117">
        <v>232.32277607769234</v>
      </c>
      <c r="F50" s="117">
        <v>250.87235532115383</v>
      </c>
      <c r="G50" s="117">
        <f t="shared" si="13"/>
        <v>18.549579243461494</v>
      </c>
      <c r="H50" s="117">
        <v>19.106066620765375</v>
      </c>
      <c r="I50" s="117">
        <v>19.67924861938829</v>
      </c>
      <c r="J50" s="117">
        <v>20.072833591775947</v>
      </c>
      <c r="K50" s="117">
        <v>20.47429026361158</v>
      </c>
      <c r="L50" s="118">
        <f t="shared" si="14"/>
        <v>97.88201833900268</v>
      </c>
    </row>
    <row r="51" spans="1:12" ht="15">
      <c r="A51" s="103">
        <v>109</v>
      </c>
      <c r="B51" s="103" t="s">
        <v>12</v>
      </c>
      <c r="C51" s="103">
        <v>52201</v>
      </c>
      <c r="D51" s="121" t="s">
        <v>134</v>
      </c>
      <c r="E51" s="117">
        <v>785.9414925000001</v>
      </c>
      <c r="F51" s="117">
        <v>860.41749375</v>
      </c>
      <c r="G51" s="117">
        <f t="shared" si="13"/>
        <v>74.47600124999985</v>
      </c>
      <c r="H51" s="117">
        <v>76.71028128750015</v>
      </c>
      <c r="I51" s="117">
        <v>79.01158972612484</v>
      </c>
      <c r="J51" s="117">
        <v>80.59182152064727</v>
      </c>
      <c r="K51" s="117">
        <v>82.20365795106034</v>
      </c>
      <c r="L51" s="118">
        <f t="shared" si="14"/>
        <v>392.99335173533245</v>
      </c>
    </row>
    <row r="53" spans="1:12" ht="15">
      <c r="A53" s="109" t="s">
        <v>1</v>
      </c>
      <c r="B53" s="109" t="s">
        <v>2</v>
      </c>
      <c r="C53" s="189" t="s">
        <v>128</v>
      </c>
      <c r="D53" s="110"/>
      <c r="E53" s="191">
        <v>2023</v>
      </c>
      <c r="F53" s="191"/>
      <c r="G53" s="192"/>
      <c r="H53" s="111">
        <v>2024</v>
      </c>
      <c r="I53" s="111">
        <v>2025</v>
      </c>
      <c r="J53" s="111">
        <v>2026</v>
      </c>
      <c r="K53" s="111">
        <v>2027</v>
      </c>
      <c r="L53" s="111" t="s">
        <v>129</v>
      </c>
    </row>
    <row r="54" spans="1:12" ht="15">
      <c r="A54" s="112" t="s">
        <v>4</v>
      </c>
      <c r="B54" s="112" t="s">
        <v>5</v>
      </c>
      <c r="C54" s="190"/>
      <c r="D54" s="113" t="s">
        <v>146</v>
      </c>
      <c r="E54" s="114" t="s">
        <v>9</v>
      </c>
      <c r="F54" s="115" t="s">
        <v>10</v>
      </c>
      <c r="G54" s="115" t="s">
        <v>131</v>
      </c>
      <c r="H54" s="115" t="s">
        <v>22</v>
      </c>
      <c r="I54" s="115" t="s">
        <v>22</v>
      </c>
      <c r="J54" s="115" t="s">
        <v>22</v>
      </c>
      <c r="K54" s="115" t="s">
        <v>22</v>
      </c>
      <c r="L54" s="115" t="s">
        <v>132</v>
      </c>
    </row>
    <row r="55" spans="1:12" ht="15">
      <c r="A55" s="103">
        <v>252</v>
      </c>
      <c r="B55" s="103" t="s">
        <v>12</v>
      </c>
      <c r="C55" s="103">
        <v>51101</v>
      </c>
      <c r="D55" s="104" t="s">
        <v>145</v>
      </c>
      <c r="E55" s="117">
        <v>30821.235</v>
      </c>
      <c r="F55" s="117">
        <v>33741.8625</v>
      </c>
      <c r="G55" s="117">
        <f>F55-E55</f>
        <v>2920.6275000000023</v>
      </c>
      <c r="H55" s="117">
        <v>3008.246325</v>
      </c>
      <c r="I55" s="117">
        <v>3098.493714749997</v>
      </c>
      <c r="J55" s="117">
        <v>3160.4635890449936</v>
      </c>
      <c r="K55" s="117">
        <v>3223.6728608258945</v>
      </c>
      <c r="L55" s="118">
        <f>SUM(G55:K55)</f>
        <v>15411.503989620887</v>
      </c>
    </row>
    <row r="56" spans="1:12" ht="15">
      <c r="A56" s="103">
        <v>251</v>
      </c>
      <c r="B56" s="103" t="s">
        <v>12</v>
      </c>
      <c r="C56" s="103">
        <v>52101</v>
      </c>
      <c r="D56" s="119" t="s">
        <v>71</v>
      </c>
      <c r="E56" s="117">
        <v>6490.62</v>
      </c>
      <c r="F56" s="117">
        <v>6490.62</v>
      </c>
      <c r="G56" s="117">
        <f aca="true" t="shared" si="15" ref="G56:G58">F56-E56</f>
        <v>0</v>
      </c>
      <c r="H56" s="117">
        <v>0</v>
      </c>
      <c r="I56" s="117">
        <v>0</v>
      </c>
      <c r="J56" s="117">
        <v>0</v>
      </c>
      <c r="K56" s="117">
        <v>0</v>
      </c>
      <c r="L56" s="118">
        <f aca="true" t="shared" si="16" ref="L56:L58">SUM(G56:K56)</f>
        <v>0</v>
      </c>
    </row>
    <row r="57" spans="1:12" ht="15">
      <c r="A57" s="103">
        <v>251</v>
      </c>
      <c r="B57" s="103" t="s">
        <v>12</v>
      </c>
      <c r="C57" s="103">
        <v>52111</v>
      </c>
      <c r="D57" s="121" t="s">
        <v>50</v>
      </c>
      <c r="E57" s="117">
        <v>696.968328233077</v>
      </c>
      <c r="F57" s="117">
        <v>752.6170659634615</v>
      </c>
      <c r="G57" s="117">
        <f t="shared" si="15"/>
        <v>55.64873773038448</v>
      </c>
      <c r="H57" s="117">
        <v>57.318199862296126</v>
      </c>
      <c r="I57" s="117">
        <v>59.03774585816487</v>
      </c>
      <c r="J57" s="117">
        <v>60.21850077532784</v>
      </c>
      <c r="K57" s="117">
        <v>61.422870790834736</v>
      </c>
      <c r="L57" s="118">
        <f t="shared" si="16"/>
        <v>293.64605501700805</v>
      </c>
    </row>
    <row r="58" spans="1:12" ht="15">
      <c r="A58" s="103">
        <v>251</v>
      </c>
      <c r="B58" s="103" t="s">
        <v>12</v>
      </c>
      <c r="C58" s="103">
        <v>52201</v>
      </c>
      <c r="D58" s="121" t="s">
        <v>134</v>
      </c>
      <c r="E58" s="117">
        <v>2357.8244775000003</v>
      </c>
      <c r="F58" s="117">
        <v>2581.2524812499996</v>
      </c>
      <c r="G58" s="117">
        <f t="shared" si="15"/>
        <v>223.42800374999933</v>
      </c>
      <c r="H58" s="117">
        <v>230.13084386250046</v>
      </c>
      <c r="I58" s="117">
        <v>237.03476917837452</v>
      </c>
      <c r="J58" s="117">
        <v>241.77546456194182</v>
      </c>
      <c r="K58" s="117">
        <v>246.610973853181</v>
      </c>
      <c r="L58" s="118">
        <f t="shared" si="16"/>
        <v>1178.9800552059971</v>
      </c>
    </row>
    <row r="59" spans="1:12" ht="15">
      <c r="A59" s="103"/>
      <c r="B59" s="122"/>
      <c r="C59" s="103"/>
      <c r="D59" s="121"/>
      <c r="E59" s="117"/>
      <c r="F59" s="117"/>
      <c r="G59" s="117"/>
      <c r="H59" s="117"/>
      <c r="I59" s="117"/>
      <c r="J59" s="117"/>
      <c r="K59" s="117"/>
      <c r="L59" s="118"/>
    </row>
    <row r="60" spans="6:12" ht="15">
      <c r="F60" s="102" t="s">
        <v>131</v>
      </c>
      <c r="G60" s="105">
        <f aca="true" t="shared" si="17" ref="G60:L60">ROUND(SUM(G48:G51,G55:G58),2)</f>
        <v>4266.27</v>
      </c>
      <c r="H60" s="105">
        <f t="shared" si="17"/>
        <v>4394.26</v>
      </c>
      <c r="I60" s="105">
        <f t="shared" si="17"/>
        <v>4526.09</v>
      </c>
      <c r="J60" s="105">
        <f t="shared" si="17"/>
        <v>4616.61</v>
      </c>
      <c r="K60" s="105">
        <f t="shared" si="17"/>
        <v>4708.94</v>
      </c>
      <c r="L60" s="106">
        <f t="shared" si="17"/>
        <v>22512.17</v>
      </c>
    </row>
    <row r="61" spans="6:12" ht="15">
      <c r="F61" s="102"/>
      <c r="G61" s="105"/>
      <c r="H61" s="105"/>
      <c r="I61" s="105"/>
      <c r="J61" s="105"/>
      <c r="K61" s="105"/>
      <c r="L61" s="106"/>
    </row>
    <row r="62" ht="15">
      <c r="A62" s="102" t="s">
        <v>147</v>
      </c>
    </row>
    <row r="63" spans="1:12" ht="15">
      <c r="A63" s="109" t="s">
        <v>1</v>
      </c>
      <c r="B63" s="109" t="s">
        <v>2</v>
      </c>
      <c r="C63" s="189" t="s">
        <v>128</v>
      </c>
      <c r="D63" s="110"/>
      <c r="E63" s="191">
        <v>2023</v>
      </c>
      <c r="F63" s="191"/>
      <c r="G63" s="192"/>
      <c r="H63" s="111">
        <v>2024</v>
      </c>
      <c r="I63" s="111">
        <v>2025</v>
      </c>
      <c r="J63" s="111">
        <v>2026</v>
      </c>
      <c r="K63" s="111">
        <v>2027</v>
      </c>
      <c r="L63" s="111" t="s">
        <v>129</v>
      </c>
    </row>
    <row r="64" spans="1:12" ht="15">
      <c r="A64" s="112" t="s">
        <v>4</v>
      </c>
      <c r="B64" s="112" t="s">
        <v>5</v>
      </c>
      <c r="C64" s="190"/>
      <c r="D64" s="113" t="s">
        <v>148</v>
      </c>
      <c r="E64" s="114" t="s">
        <v>9</v>
      </c>
      <c r="F64" s="115" t="s">
        <v>10</v>
      </c>
      <c r="G64" s="115" t="s">
        <v>131</v>
      </c>
      <c r="H64" s="115" t="s">
        <v>22</v>
      </c>
      <c r="I64" s="115" t="s">
        <v>22</v>
      </c>
      <c r="J64" s="115" t="s">
        <v>22</v>
      </c>
      <c r="K64" s="115" t="s">
        <v>22</v>
      </c>
      <c r="L64" s="115" t="s">
        <v>132</v>
      </c>
    </row>
    <row r="65" spans="1:12" ht="15">
      <c r="A65" s="103">
        <v>116</v>
      </c>
      <c r="B65" s="103" t="s">
        <v>149</v>
      </c>
      <c r="C65" s="103"/>
      <c r="D65" s="104" t="s">
        <v>150</v>
      </c>
      <c r="E65" s="117"/>
      <c r="F65" s="117"/>
      <c r="G65" s="117">
        <f>F65-E65</f>
        <v>0</v>
      </c>
      <c r="H65" s="117">
        <v>0</v>
      </c>
      <c r="I65" s="117">
        <v>0</v>
      </c>
      <c r="J65" s="117">
        <v>0</v>
      </c>
      <c r="K65" s="117">
        <v>0</v>
      </c>
      <c r="L65" s="118">
        <f>SUM(G65:K65)</f>
        <v>0</v>
      </c>
    </row>
    <row r="67" ht="15">
      <c r="A67" s="102" t="s">
        <v>151</v>
      </c>
    </row>
    <row r="68" spans="1:12" ht="15">
      <c r="A68" s="109" t="s">
        <v>1</v>
      </c>
      <c r="B68" s="109" t="s">
        <v>2</v>
      </c>
      <c r="C68" s="189" t="s">
        <v>128</v>
      </c>
      <c r="D68" s="110"/>
      <c r="E68" s="191">
        <v>2023</v>
      </c>
      <c r="F68" s="191"/>
      <c r="G68" s="192"/>
      <c r="H68" s="111">
        <v>2024</v>
      </c>
      <c r="I68" s="111">
        <v>2025</v>
      </c>
      <c r="J68" s="111">
        <v>2026</v>
      </c>
      <c r="K68" s="111">
        <v>2027</v>
      </c>
      <c r="L68" s="111" t="s">
        <v>129</v>
      </c>
    </row>
    <row r="69" spans="1:12" ht="15">
      <c r="A69" s="112" t="s">
        <v>4</v>
      </c>
      <c r="B69" s="112" t="s">
        <v>5</v>
      </c>
      <c r="C69" s="190"/>
      <c r="D69" s="113" t="s">
        <v>152</v>
      </c>
      <c r="E69" s="114" t="s">
        <v>9</v>
      </c>
      <c r="F69" s="115" t="s">
        <v>10</v>
      </c>
      <c r="G69" s="115" t="s">
        <v>131</v>
      </c>
      <c r="H69" s="115" t="s">
        <v>22</v>
      </c>
      <c r="I69" s="115" t="s">
        <v>22</v>
      </c>
      <c r="J69" s="115" t="s">
        <v>22</v>
      </c>
      <c r="K69" s="115" t="s">
        <v>22</v>
      </c>
      <c r="L69" s="115" t="s">
        <v>132</v>
      </c>
    </row>
    <row r="70" spans="1:12" ht="15">
      <c r="A70" s="103">
        <v>156</v>
      </c>
      <c r="B70" s="103" t="s">
        <v>5</v>
      </c>
      <c r="C70" s="103">
        <v>51101</v>
      </c>
      <c r="D70" s="104" t="s">
        <v>153</v>
      </c>
      <c r="E70" s="117">
        <v>57288</v>
      </c>
      <c r="F70" s="117">
        <v>0</v>
      </c>
      <c r="G70" s="117">
        <f>F70-E70</f>
        <v>-57288</v>
      </c>
      <c r="H70" s="117">
        <v>-59010</v>
      </c>
      <c r="I70" s="117">
        <v>-60190.200000000004</v>
      </c>
      <c r="J70" s="117">
        <v>-61394.04</v>
      </c>
      <c r="K70" s="117">
        <v>-62621.91</v>
      </c>
      <c r="L70" s="118">
        <f>SUM(G70:K70)</f>
        <v>-300504.15</v>
      </c>
    </row>
    <row r="71" spans="1:12" ht="15">
      <c r="A71" s="103">
        <v>158</v>
      </c>
      <c r="B71" s="103" t="s">
        <v>5</v>
      </c>
      <c r="C71" s="103">
        <v>52101</v>
      </c>
      <c r="D71" s="119" t="s">
        <v>71</v>
      </c>
      <c r="E71" s="117">
        <v>27695.52</v>
      </c>
      <c r="F71" s="117">
        <v>0</v>
      </c>
      <c r="G71" s="117">
        <f aca="true" t="shared" si="18" ref="G71:G73">F71-E71</f>
        <v>-27695.52</v>
      </c>
      <c r="H71" s="117">
        <v>-29357.25</v>
      </c>
      <c r="I71" s="117">
        <v>-31118.699999999997</v>
      </c>
      <c r="J71" s="117">
        <v>-32985.36</v>
      </c>
      <c r="K71" s="117">
        <v>-34965.600000000006</v>
      </c>
      <c r="L71" s="118">
        <f aca="true" t="shared" si="19" ref="L71:L73">SUM(G71:K71)</f>
        <v>-156122.43</v>
      </c>
    </row>
    <row r="72" spans="1:12" ht="15">
      <c r="A72" s="103">
        <v>158</v>
      </c>
      <c r="B72" s="103" t="s">
        <v>5</v>
      </c>
      <c r="C72" s="103">
        <v>52111</v>
      </c>
      <c r="D72" s="121" t="s">
        <v>50</v>
      </c>
      <c r="E72" s="117">
        <v>1380.4769169230767</v>
      </c>
      <c r="F72" s="117">
        <v>0</v>
      </c>
      <c r="G72" s="117">
        <f t="shared" si="18"/>
        <v>-1380.4769169230767</v>
      </c>
      <c r="H72" s="117">
        <v>-1406.716223076923</v>
      </c>
      <c r="I72" s="117">
        <v>-1424.6997475384615</v>
      </c>
      <c r="J72" s="117">
        <v>-1443.0434910461538</v>
      </c>
      <c r="K72" s="117">
        <v>-1461.7533963</v>
      </c>
      <c r="L72" s="118">
        <f t="shared" si="19"/>
        <v>-7116.689774884615</v>
      </c>
    </row>
    <row r="73" spans="1:12" ht="15">
      <c r="A73" s="103">
        <v>158</v>
      </c>
      <c r="B73" s="103" t="s">
        <v>5</v>
      </c>
      <c r="C73" s="103">
        <v>52201</v>
      </c>
      <c r="D73" s="121" t="s">
        <v>134</v>
      </c>
      <c r="E73" s="117">
        <v>4382.532</v>
      </c>
      <c r="F73" s="117">
        <v>0</v>
      </c>
      <c r="G73" s="117">
        <f t="shared" si="18"/>
        <v>-4382.532</v>
      </c>
      <c r="H73" s="117">
        <v>-4514.265</v>
      </c>
      <c r="I73" s="117">
        <v>-4604.550300000001</v>
      </c>
      <c r="J73" s="117">
        <v>-4696.64406</v>
      </c>
      <c r="K73" s="117">
        <v>-4790.576115</v>
      </c>
      <c r="L73" s="118">
        <f t="shared" si="19"/>
        <v>-22988.567475</v>
      </c>
    </row>
    <row r="74" spans="1:12" ht="15">
      <c r="A74" s="103">
        <v>156</v>
      </c>
      <c r="B74" s="103" t="s">
        <v>12</v>
      </c>
      <c r="C74" s="103">
        <v>51101</v>
      </c>
      <c r="D74" s="104" t="s">
        <v>180</v>
      </c>
      <c r="E74" s="117">
        <v>0</v>
      </c>
      <c r="F74" s="117">
        <v>61589.72</v>
      </c>
      <c r="G74" s="117">
        <f>F74-E74</f>
        <v>61589.72</v>
      </c>
      <c r="H74" s="117">
        <v>62821.5144</v>
      </c>
      <c r="I74" s="117">
        <v>64077.944688</v>
      </c>
      <c r="J74" s="117">
        <v>65359.50358176001</v>
      </c>
      <c r="K74" s="117">
        <v>66666.69365339521</v>
      </c>
      <c r="L74" s="118">
        <f>SUM(G74:K74)</f>
        <v>320515.37632315524</v>
      </c>
    </row>
    <row r="75" spans="1:12" ht="15">
      <c r="A75" s="103">
        <v>158</v>
      </c>
      <c r="B75" s="103" t="s">
        <v>12</v>
      </c>
      <c r="C75" s="103">
        <v>52101</v>
      </c>
      <c r="D75" s="119" t="s">
        <v>71</v>
      </c>
      <c r="E75" s="117">
        <v>0</v>
      </c>
      <c r="F75" s="117">
        <v>8654.16</v>
      </c>
      <c r="G75" s="117">
        <f aca="true" t="shared" si="20" ref="G75:G77">F75-E75</f>
        <v>8654.16</v>
      </c>
      <c r="H75" s="117">
        <v>9173.41</v>
      </c>
      <c r="I75" s="117">
        <v>9723.81</v>
      </c>
      <c r="J75" s="117">
        <v>10307.1</v>
      </c>
      <c r="K75" s="117">
        <v>10925.88</v>
      </c>
      <c r="L75" s="118">
        <f aca="true" t="shared" si="21" ref="L75:L77">SUM(G75:K75)</f>
        <v>48784.35999999999</v>
      </c>
    </row>
    <row r="76" spans="1:12" ht="15">
      <c r="A76" s="103">
        <v>158</v>
      </c>
      <c r="B76" s="103" t="s">
        <v>12</v>
      </c>
      <c r="C76" s="103">
        <v>52111</v>
      </c>
      <c r="D76" s="121" t="s">
        <v>50</v>
      </c>
      <c r="E76" s="117">
        <v>0</v>
      </c>
      <c r="F76" s="117">
        <v>1202.2783884369228</v>
      </c>
      <c r="G76" s="117">
        <f t="shared" si="20"/>
        <v>1202.2783884369228</v>
      </c>
      <c r="H76" s="117">
        <v>1343.2618056808615</v>
      </c>
      <c r="I76" s="117">
        <v>1367.2014417944788</v>
      </c>
      <c r="J76" s="117">
        <v>1391.6198706303683</v>
      </c>
      <c r="K76" s="117">
        <v>1416.5266680429756</v>
      </c>
      <c r="L76" s="118">
        <f t="shared" si="21"/>
        <v>6720.888174585607</v>
      </c>
    </row>
    <row r="77" spans="1:12" ht="15">
      <c r="A77" s="103">
        <v>158</v>
      </c>
      <c r="B77" s="103" t="s">
        <v>12</v>
      </c>
      <c r="C77" s="103">
        <v>52201</v>
      </c>
      <c r="D77" s="121" t="s">
        <v>134</v>
      </c>
      <c r="E77" s="117">
        <v>0</v>
      </c>
      <c r="F77" s="117">
        <v>4711.61358</v>
      </c>
      <c r="G77" s="117">
        <f t="shared" si="20"/>
        <v>4711.61358</v>
      </c>
      <c r="H77" s="117">
        <v>4805.8458516</v>
      </c>
      <c r="I77" s="117">
        <v>4901.962768632</v>
      </c>
      <c r="J77" s="117">
        <v>5000.002024004641</v>
      </c>
      <c r="K77" s="117">
        <v>5100.002064484734</v>
      </c>
      <c r="L77" s="118">
        <f t="shared" si="21"/>
        <v>24519.426288721377</v>
      </c>
    </row>
    <row r="79" spans="6:12" ht="15">
      <c r="F79" s="102" t="s">
        <v>131</v>
      </c>
      <c r="G79" s="123">
        <f aca="true" t="shared" si="22" ref="G79:L79">SUM(G70:G77)</f>
        <v>-14588.756948486156</v>
      </c>
      <c r="H79" s="123">
        <f t="shared" si="22"/>
        <v>-16144.199165796057</v>
      </c>
      <c r="I79" s="123">
        <f t="shared" si="22"/>
        <v>-17267.231149111976</v>
      </c>
      <c r="J79" s="123">
        <f t="shared" si="22"/>
        <v>-18460.862074651133</v>
      </c>
      <c r="K79" s="123">
        <f t="shared" si="22"/>
        <v>-19730.737125377098</v>
      </c>
      <c r="L79" s="124">
        <f t="shared" si="22"/>
        <v>-86191.78646342241</v>
      </c>
    </row>
    <row r="81" ht="15">
      <c r="A81" s="102" t="s">
        <v>154</v>
      </c>
    </row>
    <row r="82" spans="1:12" ht="15">
      <c r="A82" s="109" t="s">
        <v>1</v>
      </c>
      <c r="B82" s="109" t="s">
        <v>2</v>
      </c>
      <c r="C82" s="189" t="s">
        <v>128</v>
      </c>
      <c r="D82" s="110"/>
      <c r="E82" s="191">
        <v>2023</v>
      </c>
      <c r="F82" s="191"/>
      <c r="G82" s="192"/>
      <c r="H82" s="111">
        <v>2024</v>
      </c>
      <c r="I82" s="111">
        <v>2025</v>
      </c>
      <c r="J82" s="111">
        <v>2026</v>
      </c>
      <c r="K82" s="111">
        <v>2027</v>
      </c>
      <c r="L82" s="111" t="s">
        <v>129</v>
      </c>
    </row>
    <row r="83" spans="1:12" ht="15">
      <c r="A83" s="112" t="s">
        <v>4</v>
      </c>
      <c r="B83" s="112" t="s">
        <v>5</v>
      </c>
      <c r="C83" s="190"/>
      <c r="D83" s="113" t="s">
        <v>155</v>
      </c>
      <c r="E83" s="114" t="s">
        <v>9</v>
      </c>
      <c r="F83" s="115" t="s">
        <v>10</v>
      </c>
      <c r="G83" s="115" t="s">
        <v>131</v>
      </c>
      <c r="H83" s="115" t="s">
        <v>22</v>
      </c>
      <c r="I83" s="115" t="s">
        <v>22</v>
      </c>
      <c r="J83" s="115" t="s">
        <v>22</v>
      </c>
      <c r="K83" s="115" t="s">
        <v>22</v>
      </c>
      <c r="L83" s="115" t="s">
        <v>132</v>
      </c>
    </row>
    <row r="84" spans="1:12" ht="15">
      <c r="A84" s="103">
        <v>203</v>
      </c>
      <c r="B84" s="103" t="s">
        <v>149</v>
      </c>
      <c r="C84" s="103">
        <v>51101</v>
      </c>
      <c r="D84" s="104" t="s">
        <v>156</v>
      </c>
      <c r="E84" s="117"/>
      <c r="F84" s="117"/>
      <c r="G84" s="117">
        <f>F84-E84</f>
        <v>0</v>
      </c>
      <c r="H84" s="117">
        <v>0</v>
      </c>
      <c r="I84" s="117">
        <v>0</v>
      </c>
      <c r="J84" s="117">
        <v>0</v>
      </c>
      <c r="K84" s="117">
        <v>0</v>
      </c>
      <c r="L84" s="118">
        <f>SUM(G84:K84)</f>
        <v>0</v>
      </c>
    </row>
    <row r="86" ht="15">
      <c r="A86" s="102" t="s">
        <v>157</v>
      </c>
    </row>
    <row r="87" spans="1:12" ht="15">
      <c r="A87" s="109" t="s">
        <v>1</v>
      </c>
      <c r="B87" s="109" t="s">
        <v>2</v>
      </c>
      <c r="C87" s="189" t="s">
        <v>128</v>
      </c>
      <c r="D87" s="110"/>
      <c r="E87" s="191">
        <v>2023</v>
      </c>
      <c r="F87" s="191"/>
      <c r="G87" s="192"/>
      <c r="H87" s="111">
        <v>2024</v>
      </c>
      <c r="I87" s="111">
        <v>2025</v>
      </c>
      <c r="J87" s="111">
        <v>2026</v>
      </c>
      <c r="K87" s="111">
        <v>2027</v>
      </c>
      <c r="L87" s="111" t="s">
        <v>129</v>
      </c>
    </row>
    <row r="88" spans="1:12" ht="15">
      <c r="A88" s="112" t="s">
        <v>4</v>
      </c>
      <c r="B88" s="112" t="s">
        <v>5</v>
      </c>
      <c r="C88" s="190"/>
      <c r="D88" s="113" t="s">
        <v>158</v>
      </c>
      <c r="E88" s="114" t="s">
        <v>9</v>
      </c>
      <c r="F88" s="115" t="s">
        <v>10</v>
      </c>
      <c r="G88" s="115" t="s">
        <v>131</v>
      </c>
      <c r="H88" s="115" t="s">
        <v>22</v>
      </c>
      <c r="I88" s="115" t="s">
        <v>22</v>
      </c>
      <c r="J88" s="115" t="s">
        <v>22</v>
      </c>
      <c r="K88" s="115" t="s">
        <v>22</v>
      </c>
      <c r="L88" s="115" t="s">
        <v>132</v>
      </c>
    </row>
    <row r="89" spans="1:12" ht="15">
      <c r="A89" s="103">
        <v>207</v>
      </c>
      <c r="B89" s="103" t="s">
        <v>12</v>
      </c>
      <c r="C89" s="103">
        <v>51101</v>
      </c>
      <c r="D89" s="104" t="s">
        <v>159</v>
      </c>
      <c r="E89" s="117">
        <v>0</v>
      </c>
      <c r="F89" s="117">
        <v>122559.84</v>
      </c>
      <c r="G89" s="117">
        <f>F89-E89</f>
        <v>122559.84</v>
      </c>
      <c r="H89" s="117">
        <v>126238.12</v>
      </c>
      <c r="I89" s="117">
        <v>128762.82</v>
      </c>
      <c r="J89" s="117">
        <v>131338.28</v>
      </c>
      <c r="K89" s="117">
        <v>133964.9</v>
      </c>
      <c r="L89" s="118">
        <f>SUM(G89:K89)</f>
        <v>642863.9600000001</v>
      </c>
    </row>
    <row r="90" spans="1:12" ht="15">
      <c r="A90" s="103">
        <v>208</v>
      </c>
      <c r="B90" s="103" t="s">
        <v>12</v>
      </c>
      <c r="C90" s="103">
        <v>52101</v>
      </c>
      <c r="D90" s="119" t="s">
        <v>71</v>
      </c>
      <c r="E90" s="117">
        <v>0</v>
      </c>
      <c r="F90" s="117">
        <v>17308.32</v>
      </c>
      <c r="G90" s="117">
        <f aca="true" t="shared" si="23" ref="G90:G92">F90-E90</f>
        <v>17308.32</v>
      </c>
      <c r="H90" s="117">
        <v>18346.82</v>
      </c>
      <c r="I90" s="117">
        <v>19447.62</v>
      </c>
      <c r="J90" s="117">
        <v>20614.2</v>
      </c>
      <c r="K90" s="117">
        <v>21851.76</v>
      </c>
      <c r="L90" s="118">
        <f aca="true" t="shared" si="24" ref="L90:L92">SUM(G90:K90)</f>
        <v>97568.71999999999</v>
      </c>
    </row>
    <row r="91" spans="1:12" ht="15">
      <c r="A91" s="103">
        <v>208</v>
      </c>
      <c r="B91" s="103" t="s">
        <v>12</v>
      </c>
      <c r="C91" s="103">
        <v>52111</v>
      </c>
      <c r="D91" s="121" t="s">
        <v>50</v>
      </c>
      <c r="E91" s="117">
        <v>0</v>
      </c>
      <c r="F91" s="117">
        <v>2945.49029664</v>
      </c>
      <c r="G91" s="117">
        <f t="shared" si="23"/>
        <v>2945.49029664</v>
      </c>
      <c r="H91" s="117">
        <v>3025.1103455199996</v>
      </c>
      <c r="I91" s="117">
        <v>3079.76000172</v>
      </c>
      <c r="J91" s="117">
        <v>3135.5084088799995</v>
      </c>
      <c r="K91" s="117">
        <v>3192.3642254</v>
      </c>
      <c r="L91" s="118">
        <f t="shared" si="24"/>
        <v>15378.23327816</v>
      </c>
    </row>
    <row r="92" spans="1:12" ht="15">
      <c r="A92" s="103">
        <v>208</v>
      </c>
      <c r="B92" s="103" t="s">
        <v>12</v>
      </c>
      <c r="C92" s="103">
        <v>52201</v>
      </c>
      <c r="D92" s="121" t="s">
        <v>134</v>
      </c>
      <c r="E92" s="117">
        <v>0</v>
      </c>
      <c r="F92" s="117">
        <v>9375.82776</v>
      </c>
      <c r="G92" s="117">
        <f t="shared" si="23"/>
        <v>9375.82776</v>
      </c>
      <c r="H92" s="117">
        <v>9657.21618</v>
      </c>
      <c r="I92" s="117">
        <v>9850.355730000001</v>
      </c>
      <c r="J92" s="117">
        <v>10047.378420000001</v>
      </c>
      <c r="K92" s="117">
        <v>10248.31485</v>
      </c>
      <c r="L92" s="118">
        <f t="shared" si="24"/>
        <v>49179.09294</v>
      </c>
    </row>
    <row r="93" spans="1:12" ht="15">
      <c r="A93" s="103"/>
      <c r="B93" s="122"/>
      <c r="C93" s="103"/>
      <c r="D93" s="121"/>
      <c r="E93" s="117"/>
      <c r="F93" s="117"/>
      <c r="G93" s="117"/>
      <c r="H93" s="117"/>
      <c r="I93" s="117"/>
      <c r="J93" s="117"/>
      <c r="K93" s="117"/>
      <c r="L93" s="118"/>
    </row>
    <row r="94" spans="1:12" ht="15">
      <c r="A94" s="103"/>
      <c r="C94" s="103"/>
      <c r="E94" s="117"/>
      <c r="F94" s="102" t="s">
        <v>131</v>
      </c>
      <c r="G94" s="105">
        <f>SUM(G89:G92)</f>
        <v>152189.47805664001</v>
      </c>
      <c r="H94" s="105">
        <f aca="true" t="shared" si="25" ref="H94:L94">SUM(H89:H92)</f>
        <v>157267.26652551998</v>
      </c>
      <c r="I94" s="105">
        <f t="shared" si="25"/>
        <v>161140.55573172</v>
      </c>
      <c r="J94" s="105">
        <f t="shared" si="25"/>
        <v>165135.36682888</v>
      </c>
      <c r="K94" s="105">
        <f t="shared" si="25"/>
        <v>169257.3390754</v>
      </c>
      <c r="L94" s="106">
        <f t="shared" si="25"/>
        <v>804990.00621816</v>
      </c>
    </row>
    <row r="96" ht="15">
      <c r="A96" s="102" t="s">
        <v>160</v>
      </c>
    </row>
    <row r="97" spans="1:12" ht="15">
      <c r="A97" s="109" t="s">
        <v>1</v>
      </c>
      <c r="B97" s="109" t="s">
        <v>2</v>
      </c>
      <c r="C97" s="189" t="s">
        <v>128</v>
      </c>
      <c r="D97" s="110"/>
      <c r="E97" s="191">
        <v>2023</v>
      </c>
      <c r="F97" s="191"/>
      <c r="G97" s="192"/>
      <c r="H97" s="111">
        <v>2024</v>
      </c>
      <c r="I97" s="111">
        <v>2025</v>
      </c>
      <c r="J97" s="111">
        <v>2026</v>
      </c>
      <c r="K97" s="111">
        <v>2027</v>
      </c>
      <c r="L97" s="111" t="s">
        <v>129</v>
      </c>
    </row>
    <row r="98" spans="1:12" ht="15">
      <c r="A98" s="112" t="s">
        <v>4</v>
      </c>
      <c r="B98" s="112" t="s">
        <v>5</v>
      </c>
      <c r="C98" s="190"/>
      <c r="D98" s="113" t="s">
        <v>161</v>
      </c>
      <c r="E98" s="114" t="s">
        <v>9</v>
      </c>
      <c r="F98" s="115" t="s">
        <v>10</v>
      </c>
      <c r="G98" s="115" t="s">
        <v>131</v>
      </c>
      <c r="H98" s="115" t="s">
        <v>22</v>
      </c>
      <c r="I98" s="115" t="s">
        <v>22</v>
      </c>
      <c r="J98" s="115" t="s">
        <v>22</v>
      </c>
      <c r="K98" s="115" t="s">
        <v>22</v>
      </c>
      <c r="L98" s="115" t="s">
        <v>132</v>
      </c>
    </row>
    <row r="99" spans="1:12" ht="15">
      <c r="A99" s="103">
        <v>212</v>
      </c>
      <c r="B99" s="103" t="s">
        <v>5</v>
      </c>
      <c r="C99" s="103">
        <v>51101</v>
      </c>
      <c r="D99" s="104" t="s">
        <v>162</v>
      </c>
      <c r="E99" s="117">
        <v>72626.72</v>
      </c>
      <c r="F99" s="117">
        <v>0</v>
      </c>
      <c r="G99" s="117">
        <f>F99-E99</f>
        <v>-72626.72</v>
      </c>
      <c r="H99" s="117">
        <v>-74079.2544</v>
      </c>
      <c r="I99" s="117">
        <v>-75560.83948800001</v>
      </c>
      <c r="J99" s="117">
        <v>-77072.05627776001</v>
      </c>
      <c r="K99" s="117">
        <v>-78613.49740331521</v>
      </c>
      <c r="L99" s="118">
        <f>SUM(G99:K99)</f>
        <v>-377952.36756907526</v>
      </c>
    </row>
    <row r="100" spans="1:12" ht="15">
      <c r="A100" s="103">
        <v>213</v>
      </c>
      <c r="B100" s="103" t="s">
        <v>5</v>
      </c>
      <c r="C100" s="103">
        <v>52101</v>
      </c>
      <c r="D100" s="119" t="s">
        <v>71</v>
      </c>
      <c r="E100" s="117">
        <v>8654.16</v>
      </c>
      <c r="F100" s="117">
        <v>0</v>
      </c>
      <c r="G100" s="117">
        <f aca="true" t="shared" si="26" ref="G100:G102">F100-E100</f>
        <v>-8654.16</v>
      </c>
      <c r="H100" s="117">
        <v>-9173.41</v>
      </c>
      <c r="I100" s="117">
        <v>-9723.81</v>
      </c>
      <c r="J100" s="117">
        <v>-10307.1</v>
      </c>
      <c r="K100" s="117">
        <v>-10925.88</v>
      </c>
      <c r="L100" s="118">
        <f aca="true" t="shared" si="27" ref="L100:L102">SUM(G100:K100)</f>
        <v>-48784.35999999999</v>
      </c>
    </row>
    <row r="101" spans="1:12" ht="15">
      <c r="A101" s="103">
        <v>213</v>
      </c>
      <c r="B101" s="103" t="s">
        <v>5</v>
      </c>
      <c r="C101" s="103">
        <v>52111</v>
      </c>
      <c r="D101" s="121" t="s">
        <v>50</v>
      </c>
      <c r="E101" s="117">
        <v>1391.5153944369229</v>
      </c>
      <c r="F101" s="117">
        <v>0</v>
      </c>
      <c r="G101" s="117">
        <f t="shared" si="26"/>
        <v>-1391.5153944369229</v>
      </c>
      <c r="H101" s="117">
        <v>-1557.7633197208613</v>
      </c>
      <c r="I101" s="117">
        <v>-1585.9929861152787</v>
      </c>
      <c r="J101" s="117">
        <v>-1614.7872458375844</v>
      </c>
      <c r="K101" s="117">
        <v>-1644.157390754336</v>
      </c>
      <c r="L101" s="118">
        <f t="shared" si="27"/>
        <v>-7794.216336864983</v>
      </c>
    </row>
    <row r="102" spans="1:12" ht="15">
      <c r="A102" s="103">
        <v>213</v>
      </c>
      <c r="B102" s="103" t="s">
        <v>5</v>
      </c>
      <c r="C102" s="103">
        <v>52201</v>
      </c>
      <c r="D102" s="121" t="s">
        <v>134</v>
      </c>
      <c r="E102" s="117">
        <v>5555.94408</v>
      </c>
      <c r="F102" s="117">
        <v>0</v>
      </c>
      <c r="G102" s="117">
        <f t="shared" si="26"/>
        <v>-5555.94408</v>
      </c>
      <c r="H102" s="117">
        <v>-5667.062961600001</v>
      </c>
      <c r="I102" s="117">
        <v>-5780.404220832001</v>
      </c>
      <c r="J102" s="117">
        <v>-5896.012305248641</v>
      </c>
      <c r="K102" s="117">
        <v>-6013.932551353613</v>
      </c>
      <c r="L102" s="118">
        <f t="shared" si="27"/>
        <v>-28913.35611903426</v>
      </c>
    </row>
    <row r="103" spans="1:12" ht="15">
      <c r="A103" s="103"/>
      <c r="B103" s="122"/>
      <c r="C103" s="103"/>
      <c r="D103" s="121"/>
      <c r="E103" s="117"/>
      <c r="F103" s="117"/>
      <c r="G103" s="117"/>
      <c r="H103" s="117"/>
      <c r="I103" s="117"/>
      <c r="J103" s="117"/>
      <c r="K103" s="117"/>
      <c r="L103" s="118"/>
    </row>
    <row r="104" spans="1:12" ht="15">
      <c r="A104" s="103"/>
      <c r="C104" s="103"/>
      <c r="E104" s="117"/>
      <c r="F104" s="102" t="s">
        <v>131</v>
      </c>
      <c r="G104" s="105">
        <f>SUM(G99:G102)</f>
        <v>-88228.33947443693</v>
      </c>
      <c r="H104" s="105">
        <f aca="true" t="shared" si="28" ref="H104:L104">SUM(H99:H102)</f>
        <v>-90477.49068132087</v>
      </c>
      <c r="I104" s="105">
        <f t="shared" si="28"/>
        <v>-92651.04669494729</v>
      </c>
      <c r="J104" s="105">
        <f t="shared" si="28"/>
        <v>-94889.95582884624</v>
      </c>
      <c r="K104" s="105">
        <f t="shared" si="28"/>
        <v>-97197.46734542317</v>
      </c>
      <c r="L104" s="106">
        <f t="shared" si="28"/>
        <v>-463444.3000249745</v>
      </c>
    </row>
    <row r="106" ht="15">
      <c r="A106" s="102" t="s">
        <v>163</v>
      </c>
    </row>
    <row r="107" spans="1:12" ht="15">
      <c r="A107" s="109" t="s">
        <v>1</v>
      </c>
      <c r="B107" s="109" t="s">
        <v>2</v>
      </c>
      <c r="C107" s="189" t="s">
        <v>128</v>
      </c>
      <c r="D107" s="110"/>
      <c r="E107" s="191">
        <v>2023</v>
      </c>
      <c r="F107" s="191"/>
      <c r="G107" s="192"/>
      <c r="H107" s="111">
        <v>2024</v>
      </c>
      <c r="I107" s="111">
        <v>2025</v>
      </c>
      <c r="J107" s="111">
        <v>2026</v>
      </c>
      <c r="K107" s="111">
        <v>2027</v>
      </c>
      <c r="L107" s="111" t="s">
        <v>129</v>
      </c>
    </row>
    <row r="108" spans="1:12" ht="15">
      <c r="A108" s="112" t="s">
        <v>4</v>
      </c>
      <c r="B108" s="112" t="s">
        <v>5</v>
      </c>
      <c r="C108" s="190"/>
      <c r="D108" s="113" t="s">
        <v>164</v>
      </c>
      <c r="E108" s="114" t="s">
        <v>9</v>
      </c>
      <c r="F108" s="115" t="s">
        <v>10</v>
      </c>
      <c r="G108" s="115" t="s">
        <v>131</v>
      </c>
      <c r="H108" s="115" t="s">
        <v>22</v>
      </c>
      <c r="I108" s="115" t="s">
        <v>22</v>
      </c>
      <c r="J108" s="115" t="s">
        <v>22</v>
      </c>
      <c r="K108" s="115" t="s">
        <v>22</v>
      </c>
      <c r="L108" s="115" t="s">
        <v>132</v>
      </c>
    </row>
    <row r="109" spans="1:12" ht="15">
      <c r="A109" s="103">
        <v>216</v>
      </c>
      <c r="B109" s="103" t="s">
        <v>12</v>
      </c>
      <c r="C109" s="103">
        <v>51101</v>
      </c>
      <c r="D109" s="104" t="s">
        <v>165</v>
      </c>
      <c r="E109" s="117">
        <v>0</v>
      </c>
      <c r="F109" s="117">
        <v>164627.58</v>
      </c>
      <c r="G109" s="117">
        <f>F109-E109</f>
        <v>164627.58</v>
      </c>
      <c r="H109" s="117">
        <v>167920.1316</v>
      </c>
      <c r="I109" s="117">
        <v>171278.534232</v>
      </c>
      <c r="J109" s="117">
        <v>174704.10491664</v>
      </c>
      <c r="K109" s="117">
        <v>178198.18701497282</v>
      </c>
      <c r="L109" s="118">
        <f>SUM(G109:K109)</f>
        <v>856728.5377636128</v>
      </c>
    </row>
    <row r="110" spans="1:12" ht="15">
      <c r="A110" s="103">
        <v>217</v>
      </c>
      <c r="B110" s="103" t="s">
        <v>12</v>
      </c>
      <c r="C110" s="103">
        <v>52101</v>
      </c>
      <c r="D110" s="119" t="s">
        <v>71</v>
      </c>
      <c r="E110" s="117">
        <v>0</v>
      </c>
      <c r="F110" s="117">
        <v>17308.32</v>
      </c>
      <c r="G110" s="117">
        <f aca="true" t="shared" si="29" ref="G110:G112">F110-E110</f>
        <v>17308.32</v>
      </c>
      <c r="H110" s="117">
        <v>18346.82</v>
      </c>
      <c r="I110" s="117">
        <v>19447.62</v>
      </c>
      <c r="J110" s="117">
        <v>20614.2</v>
      </c>
      <c r="K110" s="117">
        <v>21851.76</v>
      </c>
      <c r="L110" s="118">
        <f aca="true" t="shared" si="30" ref="L110:L112">SUM(G110:K110)</f>
        <v>97568.71999999999</v>
      </c>
    </row>
    <row r="111" spans="1:12" ht="15">
      <c r="A111" s="103">
        <v>217</v>
      </c>
      <c r="B111" s="103" t="s">
        <v>12</v>
      </c>
      <c r="C111" s="103">
        <v>52111</v>
      </c>
      <c r="D111" s="121" t="s">
        <v>50</v>
      </c>
      <c r="E111" s="117">
        <v>0</v>
      </c>
      <c r="F111" s="117">
        <v>3115.2138320399995</v>
      </c>
      <c r="G111" s="117">
        <f t="shared" si="29"/>
        <v>3115.2138320399995</v>
      </c>
      <c r="H111" s="117">
        <v>3492.0585197735995</v>
      </c>
      <c r="I111" s="117">
        <v>3556.048490169072</v>
      </c>
      <c r="J111" s="117">
        <v>3621.3182599724532</v>
      </c>
      <c r="K111" s="117">
        <v>3687.8934251719024</v>
      </c>
      <c r="L111" s="118">
        <f t="shared" si="30"/>
        <v>17472.532527127027</v>
      </c>
    </row>
    <row r="112" spans="1:12" ht="15">
      <c r="A112" s="103">
        <v>217</v>
      </c>
      <c r="B112" s="103" t="s">
        <v>12</v>
      </c>
      <c r="C112" s="103">
        <v>52201</v>
      </c>
      <c r="D112" s="121" t="s">
        <v>134</v>
      </c>
      <c r="E112" s="117">
        <v>0</v>
      </c>
      <c r="F112" s="117">
        <v>12594.009869999998</v>
      </c>
      <c r="G112" s="117">
        <f t="shared" si="29"/>
        <v>12594.009869999998</v>
      </c>
      <c r="H112" s="117">
        <v>12845.8900674</v>
      </c>
      <c r="I112" s="117">
        <v>13102.807868748001</v>
      </c>
      <c r="J112" s="117">
        <v>13364.86402612296</v>
      </c>
      <c r="K112" s="117">
        <v>13632.161306645421</v>
      </c>
      <c r="L112" s="118">
        <f t="shared" si="30"/>
        <v>65539.73313891637</v>
      </c>
    </row>
    <row r="113" spans="1:12" ht="15">
      <c r="A113" s="103"/>
      <c r="B113" s="122"/>
      <c r="C113" s="103"/>
      <c r="D113" s="121"/>
      <c r="E113" s="117"/>
      <c r="F113" s="117"/>
      <c r="G113" s="117"/>
      <c r="H113" s="117"/>
      <c r="I113" s="117"/>
      <c r="J113" s="117"/>
      <c r="K113" s="117"/>
      <c r="L113" s="118"/>
    </row>
    <row r="114" spans="1:12" ht="15">
      <c r="A114" s="103"/>
      <c r="C114" s="103"/>
      <c r="E114" s="117"/>
      <c r="F114" s="102" t="s">
        <v>131</v>
      </c>
      <c r="G114" s="105">
        <f>SUM(G109:G112)</f>
        <v>197645.12370204</v>
      </c>
      <c r="H114" s="105">
        <f aca="true" t="shared" si="31" ref="H114:L114">SUM(H109:H112)</f>
        <v>202604.9001871736</v>
      </c>
      <c r="I114" s="105">
        <f t="shared" si="31"/>
        <v>207385.01059091708</v>
      </c>
      <c r="J114" s="105">
        <f t="shared" si="31"/>
        <v>212304.48720273544</v>
      </c>
      <c r="K114" s="105">
        <f t="shared" si="31"/>
        <v>217370.00174679016</v>
      </c>
      <c r="L114" s="106">
        <f t="shared" si="31"/>
        <v>1037309.5234296562</v>
      </c>
    </row>
    <row r="116" ht="15">
      <c r="A116" s="102" t="s">
        <v>166</v>
      </c>
    </row>
    <row r="117" spans="1:12" ht="15">
      <c r="A117" s="109" t="s">
        <v>1</v>
      </c>
      <c r="B117" s="109" t="s">
        <v>2</v>
      </c>
      <c r="C117" s="189" t="s">
        <v>128</v>
      </c>
      <c r="D117" s="110"/>
      <c r="E117" s="191">
        <v>2023</v>
      </c>
      <c r="F117" s="191"/>
      <c r="G117" s="192"/>
      <c r="H117" s="111">
        <v>2024</v>
      </c>
      <c r="I117" s="111">
        <v>2025</v>
      </c>
      <c r="J117" s="111">
        <v>2026</v>
      </c>
      <c r="K117" s="111">
        <v>2027</v>
      </c>
      <c r="L117" s="111" t="s">
        <v>129</v>
      </c>
    </row>
    <row r="118" spans="1:12" ht="15">
      <c r="A118" s="112" t="s">
        <v>4</v>
      </c>
      <c r="B118" s="112" t="s">
        <v>5</v>
      </c>
      <c r="C118" s="190"/>
      <c r="D118" s="113" t="s">
        <v>167</v>
      </c>
      <c r="E118" s="114" t="s">
        <v>9</v>
      </c>
      <c r="F118" s="115" t="s">
        <v>10</v>
      </c>
      <c r="G118" s="115" t="s">
        <v>131</v>
      </c>
      <c r="H118" s="115" t="s">
        <v>22</v>
      </c>
      <c r="I118" s="115" t="s">
        <v>22</v>
      </c>
      <c r="J118" s="115" t="s">
        <v>22</v>
      </c>
      <c r="K118" s="115" t="s">
        <v>22</v>
      </c>
      <c r="L118" s="115" t="s">
        <v>132</v>
      </c>
    </row>
    <row r="119" spans="1:12" ht="15">
      <c r="A119" s="103">
        <v>270</v>
      </c>
      <c r="B119" s="103" t="s">
        <v>12</v>
      </c>
      <c r="C119" s="103">
        <v>51101</v>
      </c>
      <c r="D119" s="104" t="s">
        <v>168</v>
      </c>
      <c r="E119" s="117">
        <v>49836.29</v>
      </c>
      <c r="F119" s="117">
        <v>61589.72</v>
      </c>
      <c r="G119" s="117">
        <f>F119-E119</f>
        <v>11753.43</v>
      </c>
      <c r="H119" s="117">
        <v>11988.498599999999</v>
      </c>
      <c r="I119" s="117">
        <v>12228.268572</v>
      </c>
      <c r="J119" s="117">
        <v>12472.833943440004</v>
      </c>
      <c r="K119" s="117">
        <v>12722.290622308807</v>
      </c>
      <c r="L119" s="118">
        <f>SUM(G119:K119)</f>
        <v>61165.32173774881</v>
      </c>
    </row>
    <row r="120" spans="1:12" ht="15">
      <c r="A120" s="103">
        <v>269</v>
      </c>
      <c r="B120" s="103" t="s">
        <v>12</v>
      </c>
      <c r="C120" s="103">
        <v>52101</v>
      </c>
      <c r="D120" s="119" t="s">
        <v>71</v>
      </c>
      <c r="E120" s="117">
        <v>8654.16</v>
      </c>
      <c r="F120" s="117">
        <v>8654.16</v>
      </c>
      <c r="G120" s="117">
        <f aca="true" t="shared" si="32" ref="G120:G122">F120-E120</f>
        <v>0</v>
      </c>
      <c r="H120" s="117">
        <v>0</v>
      </c>
      <c r="I120" s="117">
        <v>0</v>
      </c>
      <c r="J120" s="117">
        <v>0</v>
      </c>
      <c r="K120" s="117">
        <v>0</v>
      </c>
      <c r="L120" s="118">
        <f aca="true" t="shared" si="33" ref="L120:L122">SUM(G120:K120)</f>
        <v>0</v>
      </c>
    </row>
    <row r="121" spans="1:12" ht="15">
      <c r="A121" s="103">
        <v>269</v>
      </c>
      <c r="B121" s="103" t="s">
        <v>12</v>
      </c>
      <c r="C121" s="103">
        <v>52111</v>
      </c>
      <c r="D121" s="121" t="s">
        <v>50</v>
      </c>
      <c r="E121" s="117">
        <v>1000.757694096923</v>
      </c>
      <c r="F121" s="117">
        <v>1202.2783884369228</v>
      </c>
      <c r="G121" s="117">
        <f t="shared" si="32"/>
        <v>201.52069433999975</v>
      </c>
      <c r="H121" s="117">
        <v>228.42516355559997</v>
      </c>
      <c r="I121" s="117">
        <v>232.99366682671211</v>
      </c>
      <c r="J121" s="117">
        <v>237.65354016324636</v>
      </c>
      <c r="K121" s="117">
        <v>242.40661096651115</v>
      </c>
      <c r="L121" s="118">
        <f t="shared" si="33"/>
        <v>1142.9996758520692</v>
      </c>
    </row>
    <row r="122" spans="1:12" ht="15">
      <c r="A122" s="103">
        <v>269</v>
      </c>
      <c r="B122" s="103" t="s">
        <v>12</v>
      </c>
      <c r="C122" s="103">
        <v>52201</v>
      </c>
      <c r="D122" s="121" t="s">
        <v>134</v>
      </c>
      <c r="E122" s="117">
        <v>3812.476185</v>
      </c>
      <c r="F122" s="117">
        <v>4711.61358</v>
      </c>
      <c r="G122" s="117">
        <f t="shared" si="32"/>
        <v>899.1373950000002</v>
      </c>
      <c r="H122" s="117">
        <v>917.1201428999998</v>
      </c>
      <c r="I122" s="117">
        <v>935.462545758</v>
      </c>
      <c r="J122" s="117">
        <v>954.1717966731603</v>
      </c>
      <c r="K122" s="117">
        <v>973.2552326066234</v>
      </c>
      <c r="L122" s="118">
        <f t="shared" si="33"/>
        <v>4679.147112937784</v>
      </c>
    </row>
    <row r="123" spans="1:12" ht="15">
      <c r="A123" s="103"/>
      <c r="B123" s="122"/>
      <c r="C123" s="103"/>
      <c r="D123" s="121"/>
      <c r="E123" s="117"/>
      <c r="F123" s="117"/>
      <c r="G123" s="117"/>
      <c r="H123" s="117"/>
      <c r="I123" s="117"/>
      <c r="J123" s="117"/>
      <c r="K123" s="117"/>
      <c r="L123" s="118"/>
    </row>
    <row r="124" spans="1:12" ht="15">
      <c r="A124" s="103"/>
      <c r="C124" s="103"/>
      <c r="E124" s="117"/>
      <c r="F124" s="102" t="s">
        <v>131</v>
      </c>
      <c r="G124" s="105">
        <f>SUM(G119:G122)</f>
        <v>12854.088089339999</v>
      </c>
      <c r="H124" s="105">
        <f aca="true" t="shared" si="34" ref="H124:L124">SUM(H119:H122)</f>
        <v>13134.043906455598</v>
      </c>
      <c r="I124" s="105">
        <f t="shared" si="34"/>
        <v>13396.724784584714</v>
      </c>
      <c r="J124" s="105">
        <f t="shared" si="34"/>
        <v>13664.65928027641</v>
      </c>
      <c r="K124" s="105">
        <f t="shared" si="34"/>
        <v>13937.952465881941</v>
      </c>
      <c r="L124" s="106">
        <f t="shared" si="34"/>
        <v>66987.46852653867</v>
      </c>
    </row>
    <row r="126" spans="1:12" ht="15">
      <c r="A126" s="144" t="s">
        <v>169</v>
      </c>
      <c r="B126" s="145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</row>
    <row r="127" spans="1:12" ht="15">
      <c r="A127" s="147" t="s">
        <v>170</v>
      </c>
      <c r="B127" s="147" t="s">
        <v>2</v>
      </c>
      <c r="C127" s="193" t="s">
        <v>128</v>
      </c>
      <c r="D127" s="148"/>
      <c r="E127" s="195">
        <v>2023</v>
      </c>
      <c r="F127" s="195"/>
      <c r="G127" s="196"/>
      <c r="H127" s="149">
        <v>2024</v>
      </c>
      <c r="I127" s="149">
        <v>2025</v>
      </c>
      <c r="J127" s="149">
        <v>2026</v>
      </c>
      <c r="K127" s="149">
        <v>2027</v>
      </c>
      <c r="L127" s="149" t="s">
        <v>129</v>
      </c>
    </row>
    <row r="128" spans="1:12" ht="15">
      <c r="A128" s="150" t="s">
        <v>4</v>
      </c>
      <c r="B128" s="150" t="s">
        <v>5</v>
      </c>
      <c r="C128" s="194"/>
      <c r="D128" s="151" t="s">
        <v>171</v>
      </c>
      <c r="E128" s="152" t="s">
        <v>9</v>
      </c>
      <c r="F128" s="153" t="s">
        <v>10</v>
      </c>
      <c r="G128" s="153" t="s">
        <v>131</v>
      </c>
      <c r="H128" s="153" t="s">
        <v>22</v>
      </c>
      <c r="I128" s="153" t="s">
        <v>22</v>
      </c>
      <c r="J128" s="153" t="s">
        <v>22</v>
      </c>
      <c r="K128" s="153" t="s">
        <v>22</v>
      </c>
      <c r="L128" s="153" t="s">
        <v>132</v>
      </c>
    </row>
    <row r="129" spans="1:12" ht="15">
      <c r="A129" s="145">
        <v>259</v>
      </c>
      <c r="B129" s="145" t="s">
        <v>12</v>
      </c>
      <c r="C129" s="145">
        <v>51101</v>
      </c>
      <c r="D129" s="146" t="s">
        <v>172</v>
      </c>
      <c r="E129" s="154">
        <v>0</v>
      </c>
      <c r="F129" s="154">
        <v>64251.22</v>
      </c>
      <c r="G129" s="154">
        <v>65536.2444</v>
      </c>
      <c r="H129" s="154">
        <v>66846.969288</v>
      </c>
      <c r="I129" s="154">
        <v>68183.90867376</v>
      </c>
      <c r="J129" s="154">
        <v>69547.5868472352</v>
      </c>
      <c r="K129" s="154">
        <v>178198.18701497282</v>
      </c>
      <c r="L129" s="155">
        <f>SUM(G129:K129)</f>
        <v>448312.896223968</v>
      </c>
    </row>
    <row r="130" spans="1:12" ht="15">
      <c r="A130" s="145">
        <v>258</v>
      </c>
      <c r="B130" s="145" t="s">
        <v>12</v>
      </c>
      <c r="C130" s="145">
        <v>52101</v>
      </c>
      <c r="D130" s="156" t="s">
        <v>71</v>
      </c>
      <c r="E130" s="154">
        <v>0</v>
      </c>
      <c r="F130" s="154">
        <v>8654.16</v>
      </c>
      <c r="G130" s="154">
        <v>9173.41</v>
      </c>
      <c r="H130" s="154">
        <v>9723.81</v>
      </c>
      <c r="I130" s="154">
        <v>10307.1</v>
      </c>
      <c r="J130" s="154">
        <v>10925.88</v>
      </c>
      <c r="K130" s="154">
        <v>21851.76</v>
      </c>
      <c r="L130" s="155">
        <f aca="true" t="shared" si="35" ref="L130:L132">SUM(G130:K130)</f>
        <v>61981.95999999999</v>
      </c>
    </row>
    <row r="131" spans="1:12" ht="15">
      <c r="A131" s="145">
        <v>258</v>
      </c>
      <c r="B131" s="145" t="s">
        <v>12</v>
      </c>
      <c r="C131" s="145">
        <v>52111</v>
      </c>
      <c r="D131" s="157" t="s">
        <v>50</v>
      </c>
      <c r="E131" s="154">
        <v>0</v>
      </c>
      <c r="F131" s="154">
        <v>1247.911648513846</v>
      </c>
      <c r="G131" s="154">
        <v>1394.9874357993228</v>
      </c>
      <c r="H131" s="154">
        <v>1419.9615845153091</v>
      </c>
      <c r="I131" s="154">
        <v>1445.4352162056157</v>
      </c>
      <c r="J131" s="154">
        <v>1471.418320529728</v>
      </c>
      <c r="K131" s="154">
        <v>3687.8934251719024</v>
      </c>
      <c r="L131" s="155">
        <f t="shared" si="35"/>
        <v>9419.695982221878</v>
      </c>
    </row>
    <row r="132" spans="1:12" ht="15">
      <c r="A132" s="145">
        <v>258</v>
      </c>
      <c r="B132" s="145" t="s">
        <v>12</v>
      </c>
      <c r="C132" s="145">
        <v>52201</v>
      </c>
      <c r="D132" s="157" t="s">
        <v>134</v>
      </c>
      <c r="E132" s="154">
        <v>0</v>
      </c>
      <c r="F132" s="154">
        <v>4915.21833</v>
      </c>
      <c r="G132" s="154">
        <v>5013.5226966</v>
      </c>
      <c r="H132" s="154">
        <v>5113.793150531999</v>
      </c>
      <c r="I132" s="154">
        <v>5216.06901354264</v>
      </c>
      <c r="J132" s="154">
        <v>5320.390393813494</v>
      </c>
      <c r="K132" s="154">
        <v>13632.161306645421</v>
      </c>
      <c r="L132" s="155">
        <f t="shared" si="35"/>
        <v>34295.93656113355</v>
      </c>
    </row>
    <row r="133" spans="1:12" ht="15">
      <c r="A133" s="145"/>
      <c r="B133" s="158"/>
      <c r="C133" s="145"/>
      <c r="D133" s="157"/>
      <c r="E133" s="154"/>
      <c r="F133" s="154"/>
      <c r="G133" s="154"/>
      <c r="H133" s="154"/>
      <c r="I133" s="154"/>
      <c r="J133" s="154"/>
      <c r="K133" s="154"/>
      <c r="L133" s="155"/>
    </row>
    <row r="134" spans="1:12" ht="15">
      <c r="A134" s="145"/>
      <c r="B134" s="145"/>
      <c r="C134" s="145"/>
      <c r="D134" s="146"/>
      <c r="E134" s="154"/>
      <c r="F134" s="144" t="s">
        <v>131</v>
      </c>
      <c r="G134" s="159">
        <f>SUM(G129:G132)</f>
        <v>81118.16453239933</v>
      </c>
      <c r="H134" s="159">
        <f aca="true" t="shared" si="36" ref="H134:L134">SUM(H129:H132)</f>
        <v>83104.5340230473</v>
      </c>
      <c r="I134" s="159">
        <f t="shared" si="36"/>
        <v>85152.51290350826</v>
      </c>
      <c r="J134" s="159">
        <f t="shared" si="36"/>
        <v>87265.27556157843</v>
      </c>
      <c r="K134" s="159">
        <f t="shared" si="36"/>
        <v>217370.00174679016</v>
      </c>
      <c r="L134" s="160">
        <f t="shared" si="36"/>
        <v>554010.4887673234</v>
      </c>
    </row>
    <row r="136" ht="15">
      <c r="A136" s="102" t="s">
        <v>181</v>
      </c>
    </row>
    <row r="137" spans="1:12" ht="15">
      <c r="A137" s="109" t="s">
        <v>170</v>
      </c>
      <c r="B137" s="109" t="s">
        <v>2</v>
      </c>
      <c r="C137" s="189" t="s">
        <v>128</v>
      </c>
      <c r="D137" s="110"/>
      <c r="E137" s="191">
        <v>2023</v>
      </c>
      <c r="F137" s="191"/>
      <c r="G137" s="192"/>
      <c r="H137" s="111">
        <v>2024</v>
      </c>
      <c r="I137" s="111">
        <v>2025</v>
      </c>
      <c r="J137" s="111">
        <v>2026</v>
      </c>
      <c r="K137" s="111">
        <v>2027</v>
      </c>
      <c r="L137" s="111" t="s">
        <v>129</v>
      </c>
    </row>
    <row r="138" spans="1:12" ht="15">
      <c r="A138" s="127" t="s">
        <v>4</v>
      </c>
      <c r="B138" s="127" t="s">
        <v>5</v>
      </c>
      <c r="C138" s="190"/>
      <c r="D138" s="113" t="s">
        <v>171</v>
      </c>
      <c r="E138" s="114" t="s">
        <v>9</v>
      </c>
      <c r="F138" s="115" t="s">
        <v>10</v>
      </c>
      <c r="G138" s="115" t="s">
        <v>131</v>
      </c>
      <c r="H138" s="115" t="s">
        <v>22</v>
      </c>
      <c r="I138" s="115" t="s">
        <v>22</v>
      </c>
      <c r="J138" s="115" t="s">
        <v>22</v>
      </c>
      <c r="K138" s="115" t="s">
        <v>22</v>
      </c>
      <c r="L138" s="115" t="s">
        <v>132</v>
      </c>
    </row>
    <row r="139" spans="1:12" ht="15">
      <c r="A139" s="103">
        <v>259</v>
      </c>
      <c r="B139" s="103" t="s">
        <v>12</v>
      </c>
      <c r="C139" s="103">
        <v>51101</v>
      </c>
      <c r="D139" s="104" t="s">
        <v>172</v>
      </c>
      <c r="E139" s="117">
        <v>0</v>
      </c>
      <c r="F139" s="117">
        <v>64251.22</v>
      </c>
      <c r="G139" s="117">
        <f>F139-E139</f>
        <v>64251.22</v>
      </c>
      <c r="H139" s="117">
        <v>65536.2444</v>
      </c>
      <c r="I139" s="117">
        <v>66846.969288</v>
      </c>
      <c r="J139" s="117">
        <v>68183.90867376</v>
      </c>
      <c r="K139" s="117">
        <v>69547.5868472352</v>
      </c>
      <c r="L139" s="118">
        <f>SUM(G139:K139)</f>
        <v>334365.9292089952</v>
      </c>
    </row>
    <row r="140" spans="1:12" ht="15">
      <c r="A140" s="103">
        <v>258</v>
      </c>
      <c r="B140" s="103" t="s">
        <v>12</v>
      </c>
      <c r="C140" s="103">
        <v>52101</v>
      </c>
      <c r="D140" s="119" t="s">
        <v>71</v>
      </c>
      <c r="E140" s="117">
        <v>0</v>
      </c>
      <c r="F140" s="117">
        <v>8654.16</v>
      </c>
      <c r="G140" s="117">
        <f aca="true" t="shared" si="37" ref="G140:G142">F140-E140</f>
        <v>8654.16</v>
      </c>
      <c r="H140" s="117">
        <v>9173.41</v>
      </c>
      <c r="I140" s="117">
        <v>9723.81</v>
      </c>
      <c r="J140" s="117">
        <v>10307.1</v>
      </c>
      <c r="K140" s="117">
        <v>10925.88</v>
      </c>
      <c r="L140" s="118">
        <f aca="true" t="shared" si="38" ref="L140:L142">SUM(G140:K140)</f>
        <v>48784.35999999999</v>
      </c>
    </row>
    <row r="141" spans="1:12" ht="15">
      <c r="A141" s="103">
        <v>258</v>
      </c>
      <c r="B141" s="103" t="s">
        <v>12</v>
      </c>
      <c r="C141" s="103">
        <v>52111</v>
      </c>
      <c r="D141" s="121" t="s">
        <v>50</v>
      </c>
      <c r="E141" s="117">
        <v>0</v>
      </c>
      <c r="F141" s="117">
        <v>1247.911648513846</v>
      </c>
      <c r="G141" s="117">
        <f t="shared" si="37"/>
        <v>1247.911648513846</v>
      </c>
      <c r="H141" s="117">
        <v>1394.9874357993228</v>
      </c>
      <c r="I141" s="117">
        <v>1419.9615845153091</v>
      </c>
      <c r="J141" s="117">
        <v>1445.4352162056157</v>
      </c>
      <c r="K141" s="117">
        <v>1471.418320529728</v>
      </c>
      <c r="L141" s="118">
        <f t="shared" si="38"/>
        <v>6979.714205563821</v>
      </c>
    </row>
    <row r="142" spans="1:12" ht="15">
      <c r="A142" s="103">
        <v>258</v>
      </c>
      <c r="B142" s="103" t="s">
        <v>12</v>
      </c>
      <c r="C142" s="103">
        <v>52201</v>
      </c>
      <c r="D142" s="121" t="s">
        <v>134</v>
      </c>
      <c r="E142" s="117">
        <v>0</v>
      </c>
      <c r="F142" s="117">
        <v>4915.21833</v>
      </c>
      <c r="G142" s="117">
        <f t="shared" si="37"/>
        <v>4915.21833</v>
      </c>
      <c r="H142" s="117">
        <v>5013.5226966</v>
      </c>
      <c r="I142" s="117">
        <v>5113.793150531999</v>
      </c>
      <c r="J142" s="117">
        <v>5216.06901354264</v>
      </c>
      <c r="K142" s="117">
        <v>5320.390393813494</v>
      </c>
      <c r="L142" s="118">
        <f t="shared" si="38"/>
        <v>25578.993584488133</v>
      </c>
    </row>
    <row r="143" spans="1:12" ht="15">
      <c r="A143" s="103"/>
      <c r="B143" s="122"/>
      <c r="C143" s="103"/>
      <c r="D143" s="121"/>
      <c r="E143" s="117"/>
      <c r="F143" s="117"/>
      <c r="G143" s="117"/>
      <c r="H143" s="117"/>
      <c r="I143" s="117"/>
      <c r="J143" s="117"/>
      <c r="K143" s="117"/>
      <c r="L143" s="118"/>
    </row>
    <row r="144" spans="1:12" ht="15">
      <c r="A144" s="103"/>
      <c r="C144" s="103"/>
      <c r="E144" s="117"/>
      <c r="F144" s="102" t="s">
        <v>131</v>
      </c>
      <c r="G144" s="105">
        <f>SUM(G139:G142)</f>
        <v>79068.50997851386</v>
      </c>
      <c r="H144" s="105">
        <f aca="true" t="shared" si="39" ref="H144:L144">SUM(H139:H142)</f>
        <v>81118.16453239933</v>
      </c>
      <c r="I144" s="105">
        <f t="shared" si="39"/>
        <v>83104.5340230473</v>
      </c>
      <c r="J144" s="105">
        <f t="shared" si="39"/>
        <v>85152.51290350826</v>
      </c>
      <c r="K144" s="105">
        <f t="shared" si="39"/>
        <v>87265.27556157843</v>
      </c>
      <c r="L144" s="106">
        <f t="shared" si="39"/>
        <v>415708.9969990471</v>
      </c>
    </row>
    <row r="145" spans="1:12" ht="15">
      <c r="A145" s="103"/>
      <c r="C145" s="103"/>
      <c r="E145" s="117"/>
      <c r="F145" s="102"/>
      <c r="G145" s="105"/>
      <c r="H145" s="105"/>
      <c r="I145" s="105"/>
      <c r="J145" s="105"/>
      <c r="K145" s="105"/>
      <c r="L145" s="106"/>
    </row>
    <row r="146" ht="15">
      <c r="A146" s="102" t="s">
        <v>173</v>
      </c>
    </row>
    <row r="147" spans="1:12" ht="15">
      <c r="A147" s="109" t="s">
        <v>170</v>
      </c>
      <c r="B147" s="109" t="s">
        <v>2</v>
      </c>
      <c r="C147" s="189" t="s">
        <v>128</v>
      </c>
      <c r="D147" s="110"/>
      <c r="E147" s="191">
        <v>2023</v>
      </c>
      <c r="F147" s="191"/>
      <c r="G147" s="192"/>
      <c r="H147" s="111">
        <v>2024</v>
      </c>
      <c r="I147" s="111">
        <v>2025</v>
      </c>
      <c r="J147" s="111">
        <v>2026</v>
      </c>
      <c r="K147" s="111">
        <v>2027</v>
      </c>
      <c r="L147" s="111" t="s">
        <v>129</v>
      </c>
    </row>
    <row r="148" spans="1:12" ht="15">
      <c r="A148" s="112" t="s">
        <v>4</v>
      </c>
      <c r="B148" s="112" t="s">
        <v>5</v>
      </c>
      <c r="C148" s="190"/>
      <c r="D148" s="113" t="s">
        <v>174</v>
      </c>
      <c r="E148" s="114" t="s">
        <v>9</v>
      </c>
      <c r="F148" s="115" t="s">
        <v>10</v>
      </c>
      <c r="G148" s="115" t="s">
        <v>131</v>
      </c>
      <c r="H148" s="115" t="s">
        <v>22</v>
      </c>
      <c r="I148" s="115" t="s">
        <v>22</v>
      </c>
      <c r="J148" s="115" t="s">
        <v>22</v>
      </c>
      <c r="K148" s="115" t="s">
        <v>22</v>
      </c>
      <c r="L148" s="115" t="s">
        <v>132</v>
      </c>
    </row>
    <row r="149" spans="1:12" ht="15">
      <c r="A149" s="103">
        <v>158</v>
      </c>
      <c r="B149" s="103" t="s">
        <v>5</v>
      </c>
      <c r="C149" s="103">
        <v>52101</v>
      </c>
      <c r="D149" s="104" t="s">
        <v>175</v>
      </c>
      <c r="E149" s="117">
        <v>122262.96</v>
      </c>
      <c r="F149" s="117">
        <v>115736.28</v>
      </c>
      <c r="G149" s="117">
        <f>F149-E149</f>
        <v>-6526.680000000008</v>
      </c>
      <c r="H149" s="117">
        <v>-6918.280800000009</v>
      </c>
      <c r="I149" s="117">
        <v>-7333.37764800001</v>
      </c>
      <c r="J149" s="117">
        <v>-7773.380306880011</v>
      </c>
      <c r="K149" s="117">
        <v>-8239.783125292812</v>
      </c>
      <c r="L149" s="118">
        <f>SUM(G149:K149)</f>
        <v>-36791.501880172844</v>
      </c>
    </row>
    <row r="150" spans="1:12" ht="15">
      <c r="A150" s="103">
        <v>208</v>
      </c>
      <c r="B150" s="103" t="s">
        <v>5</v>
      </c>
      <c r="C150" s="103">
        <v>52101</v>
      </c>
      <c r="D150" s="125" t="s">
        <v>176</v>
      </c>
      <c r="E150" s="117">
        <v>2669657.3999999994</v>
      </c>
      <c r="F150" s="117">
        <v>2505618.1200000034</v>
      </c>
      <c r="G150" s="117">
        <f aca="true" t="shared" si="40" ref="G150:G152">F150-E150</f>
        <v>-164039.27999999607</v>
      </c>
      <c r="H150" s="117">
        <v>-173881.63679999585</v>
      </c>
      <c r="I150" s="117">
        <v>-184314.5350079956</v>
      </c>
      <c r="J150" s="117">
        <v>-195373.40710847537</v>
      </c>
      <c r="K150" s="117">
        <v>-207095.8115349839</v>
      </c>
      <c r="L150" s="118">
        <f aca="true" t="shared" si="41" ref="L150:L152">SUM(G150:K150)</f>
        <v>-924704.6704514468</v>
      </c>
    </row>
    <row r="151" spans="1:12" ht="15">
      <c r="A151" s="103">
        <v>217</v>
      </c>
      <c r="B151" s="103" t="s">
        <v>5</v>
      </c>
      <c r="C151" s="103">
        <v>52101</v>
      </c>
      <c r="D151" s="126" t="s">
        <v>177</v>
      </c>
      <c r="E151" s="117">
        <v>566344.7999999997</v>
      </c>
      <c r="F151" s="117">
        <v>534641.9999999998</v>
      </c>
      <c r="G151" s="117">
        <f t="shared" si="40"/>
        <v>-31702.79999999993</v>
      </c>
      <c r="H151" s="117">
        <v>-33604.96799999993</v>
      </c>
      <c r="I151" s="117">
        <v>-35621.26607999993</v>
      </c>
      <c r="J151" s="117">
        <v>-37758.54204479993</v>
      </c>
      <c r="K151" s="117">
        <v>-40024.054567487925</v>
      </c>
      <c r="L151" s="118">
        <f t="shared" si="41"/>
        <v>-178711.63069228764</v>
      </c>
    </row>
    <row r="152" spans="1:12" ht="15">
      <c r="A152" s="103">
        <v>235</v>
      </c>
      <c r="B152" s="103" t="s">
        <v>5</v>
      </c>
      <c r="C152" s="103">
        <v>52101</v>
      </c>
      <c r="D152" s="126" t="s">
        <v>178</v>
      </c>
      <c r="E152" s="117">
        <v>243263.63999999998</v>
      </c>
      <c r="F152" s="117">
        <v>228584.76000000004</v>
      </c>
      <c r="G152" s="117">
        <f t="shared" si="40"/>
        <v>-14678.879999999946</v>
      </c>
      <c r="H152" s="117">
        <v>-15559.612799999944</v>
      </c>
      <c r="I152" s="117">
        <v>-16493.189567999943</v>
      </c>
      <c r="J152" s="117">
        <v>-17482.780942079942</v>
      </c>
      <c r="K152" s="117">
        <v>-18531.747798604738</v>
      </c>
      <c r="L152" s="118">
        <f t="shared" si="41"/>
        <v>-82746.21110868451</v>
      </c>
    </row>
    <row r="153" spans="1:12" ht="15">
      <c r="A153" s="103"/>
      <c r="B153" s="122"/>
      <c r="C153" s="103"/>
      <c r="D153" s="121"/>
      <c r="E153" s="117"/>
      <c r="F153" s="117"/>
      <c r="G153" s="117"/>
      <c r="H153" s="117"/>
      <c r="I153" s="117"/>
      <c r="J153" s="117"/>
      <c r="K153" s="117"/>
      <c r="L153" s="118"/>
    </row>
    <row r="154" spans="1:12" ht="15">
      <c r="A154" s="103"/>
      <c r="C154" s="103"/>
      <c r="E154" s="117"/>
      <c r="F154" s="102" t="s">
        <v>131</v>
      </c>
      <c r="G154" s="105">
        <f>SUM(G149:G152)</f>
        <v>-216947.63999999594</v>
      </c>
      <c r="H154" s="105">
        <f aca="true" t="shared" si="42" ref="H154:L154">SUM(H149:H152)</f>
        <v>-229964.49839999573</v>
      </c>
      <c r="I154" s="105">
        <f t="shared" si="42"/>
        <v>-243762.3683039955</v>
      </c>
      <c r="J154" s="105">
        <f t="shared" si="42"/>
        <v>-258388.11040223524</v>
      </c>
      <c r="K154" s="105">
        <f t="shared" si="42"/>
        <v>-273891.39702636935</v>
      </c>
      <c r="L154" s="106">
        <f t="shared" si="42"/>
        <v>-1222954.014132592</v>
      </c>
    </row>
    <row r="156" ht="15">
      <c r="A156" s="102" t="s">
        <v>179</v>
      </c>
    </row>
    <row r="157" spans="1:12" ht="15">
      <c r="A157" s="109" t="s">
        <v>170</v>
      </c>
      <c r="B157" s="109" t="s">
        <v>2</v>
      </c>
      <c r="C157" s="189" t="s">
        <v>128</v>
      </c>
      <c r="D157" s="110"/>
      <c r="E157" s="191">
        <v>2023</v>
      </c>
      <c r="F157" s="191"/>
      <c r="G157" s="192"/>
      <c r="H157" s="111">
        <v>2024</v>
      </c>
      <c r="I157" s="111">
        <v>2025</v>
      </c>
      <c r="J157" s="111">
        <v>2026</v>
      </c>
      <c r="K157" s="111">
        <v>2027</v>
      </c>
      <c r="L157" s="111" t="s">
        <v>129</v>
      </c>
    </row>
    <row r="158" spans="1:12" ht="15">
      <c r="A158" s="112" t="s">
        <v>4</v>
      </c>
      <c r="B158" s="112" t="s">
        <v>5</v>
      </c>
      <c r="C158" s="190"/>
      <c r="D158" s="113" t="s">
        <v>174</v>
      </c>
      <c r="E158" s="114" t="s">
        <v>9</v>
      </c>
      <c r="F158" s="115" t="s">
        <v>10</v>
      </c>
      <c r="G158" s="115" t="s">
        <v>131</v>
      </c>
      <c r="H158" s="115" t="s">
        <v>22</v>
      </c>
      <c r="I158" s="115" t="s">
        <v>22</v>
      </c>
      <c r="J158" s="115" t="s">
        <v>22</v>
      </c>
      <c r="K158" s="115" t="s">
        <v>22</v>
      </c>
      <c r="L158" s="115" t="s">
        <v>132</v>
      </c>
    </row>
    <row r="159" spans="1:12" ht="15">
      <c r="A159" s="103" t="s">
        <v>174</v>
      </c>
      <c r="B159" s="103" t="s">
        <v>5</v>
      </c>
      <c r="C159" s="103">
        <v>52101</v>
      </c>
      <c r="D159" s="104" t="s">
        <v>71</v>
      </c>
      <c r="E159" s="117">
        <v>683242.0799999996</v>
      </c>
      <c r="F159" s="117">
        <v>644910.7199999995</v>
      </c>
      <c r="G159" s="117">
        <f>F159-E159</f>
        <v>-38331.3600000001</v>
      </c>
      <c r="H159" s="117">
        <v>-40631.24160000011</v>
      </c>
      <c r="I159" s="117">
        <v>-43069.11609600012</v>
      </c>
      <c r="J159" s="117">
        <v>-45653.26306176013</v>
      </c>
      <c r="K159" s="117">
        <v>-48392.45884546574</v>
      </c>
      <c r="L159" s="118">
        <f>SUM(G159:K159)</f>
        <v>-216077.4396032262</v>
      </c>
    </row>
  </sheetData>
  <mergeCells count="34">
    <mergeCell ref="C157:C158"/>
    <mergeCell ref="E157:G157"/>
    <mergeCell ref="C117:C118"/>
    <mergeCell ref="E117:G117"/>
    <mergeCell ref="C127:C128"/>
    <mergeCell ref="E127:G127"/>
    <mergeCell ref="C147:C148"/>
    <mergeCell ref="E147:G147"/>
    <mergeCell ref="C137:C138"/>
    <mergeCell ref="E137:G137"/>
    <mergeCell ref="C87:C88"/>
    <mergeCell ref="E87:G87"/>
    <mergeCell ref="C97:C98"/>
    <mergeCell ref="E97:G97"/>
    <mergeCell ref="C107:C108"/>
    <mergeCell ref="E107:G107"/>
    <mergeCell ref="C63:C64"/>
    <mergeCell ref="E63:G63"/>
    <mergeCell ref="C68:C69"/>
    <mergeCell ref="E68:G68"/>
    <mergeCell ref="C82:C83"/>
    <mergeCell ref="E82:G82"/>
    <mergeCell ref="C32:C33"/>
    <mergeCell ref="E32:G32"/>
    <mergeCell ref="C46:C47"/>
    <mergeCell ref="E46:G46"/>
    <mergeCell ref="C53:C54"/>
    <mergeCell ref="E53:G53"/>
    <mergeCell ref="C5:C6"/>
    <mergeCell ref="E5:G5"/>
    <mergeCell ref="C15:C16"/>
    <mergeCell ref="E15:G15"/>
    <mergeCell ref="C22:C23"/>
    <mergeCell ref="E22:G2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"/>
  <sheetViews>
    <sheetView workbookViewId="0" topLeftCell="A1">
      <selection activeCell="E4" sqref="E4"/>
    </sheetView>
  </sheetViews>
  <sheetFormatPr defaultColWidth="9.140625" defaultRowHeight="15"/>
  <cols>
    <col min="3" max="3" width="10.7109375" style="0" bestFit="1" customWidth="1"/>
    <col min="4" max="4" width="10.7109375" style="0" customWidth="1"/>
    <col min="5" max="5" width="75.28125" style="0" bestFit="1" customWidth="1"/>
    <col min="6" max="8" width="15.7109375" style="0" customWidth="1"/>
    <col min="11" max="11" width="11.57421875" style="0" bestFit="1" customWidth="1"/>
    <col min="12" max="12" width="12.7109375" style="0" customWidth="1"/>
    <col min="13" max="13" width="11.28125" style="0" customWidth="1"/>
    <col min="14" max="14" width="12.7109375" style="0" customWidth="1"/>
    <col min="15" max="15" width="12.00390625" style="0" customWidth="1"/>
    <col min="16" max="17" width="10.57421875" style="0" customWidth="1"/>
  </cols>
  <sheetData>
    <row r="1" ht="17.5">
      <c r="A1" s="1" t="s">
        <v>122</v>
      </c>
    </row>
    <row r="2" ht="15">
      <c r="A2" t="s">
        <v>0</v>
      </c>
    </row>
    <row r="4" spans="1:8" ht="15.5">
      <c r="A4" s="91" t="s">
        <v>1</v>
      </c>
      <c r="B4" s="92" t="s">
        <v>2</v>
      </c>
      <c r="C4" s="92" t="s">
        <v>3</v>
      </c>
      <c r="D4" s="91"/>
      <c r="E4" s="4"/>
      <c r="F4" s="5"/>
      <c r="G4" s="5"/>
      <c r="H4" s="5"/>
    </row>
    <row r="5" spans="1:17" ht="15.5">
      <c r="A5" s="91" t="s">
        <v>4</v>
      </c>
      <c r="B5" s="92" t="s">
        <v>5</v>
      </c>
      <c r="C5" s="92" t="s">
        <v>6</v>
      </c>
      <c r="D5" s="91" t="s">
        <v>7</v>
      </c>
      <c r="E5" s="92" t="s">
        <v>8</v>
      </c>
      <c r="F5" s="6" t="s">
        <v>9</v>
      </c>
      <c r="G5" s="6" t="s">
        <v>10</v>
      </c>
      <c r="H5" s="6" t="s">
        <v>11</v>
      </c>
      <c r="M5" s="95"/>
      <c r="N5" s="97"/>
      <c r="O5" s="97"/>
      <c r="P5" s="97"/>
      <c r="Q5" s="97"/>
    </row>
    <row r="6" spans="1:17" ht="15.5">
      <c r="A6" s="7"/>
      <c r="B6" s="8" t="s">
        <v>12</v>
      </c>
      <c r="C6" s="7">
        <v>51101</v>
      </c>
      <c r="D6" s="7" t="s">
        <v>13</v>
      </c>
      <c r="E6" s="8" t="s">
        <v>119</v>
      </c>
      <c r="F6" s="9">
        <f>829902+92099+33470+429474+1195894+37419+2148996+71259+2276951+3470415+49352+1247255+232044+1513208+177537</f>
        <v>13805275</v>
      </c>
      <c r="G6" s="9">
        <f>'[1]0336BudgetSummary5yrForecast'!$H$7+'[1]0336BudgetSummary5yrForecast'!$H$40+'[1]0336BudgetSummary5yrForecast'!$H$58+'[1]0336BudgetSummary5yrForecast'!$H$73+'[1]0336BudgetSummary5yrForecast'!$H$92+'[1]0336BudgetSummary5yrForecast'!$H$106+'[1]0336BudgetSummary5yrForecast'!$H$124+'[1]0336BudgetSummary5yrForecast'!$H$146+'[1]0336BudgetSummary5yrForecast'!$H$163+'[1]0336BudgetSummary5yrForecast'!$H$194+'[1]0336BudgetSummary5yrForecast'!$H$217+'[1]0336BudgetSummary5yrForecast'!$H$248+'[1]0336BudgetSummary5yrForecast'!$H$276+'[1]0336BudgetSummary5yrForecast'!$H$297+'[1]0336BudgetSummary5yrForecast'!$H$310</f>
        <v>13864207.401956</v>
      </c>
      <c r="H6" s="9">
        <f>G6-F6</f>
        <v>58932.401955999434</v>
      </c>
      <c r="M6" s="97"/>
      <c r="N6" s="97"/>
      <c r="O6" s="97"/>
      <c r="P6" s="97"/>
      <c r="Q6" s="97"/>
    </row>
    <row r="7" spans="1:8" ht="15.5">
      <c r="A7" s="7"/>
      <c r="B7" s="8" t="s">
        <v>12</v>
      </c>
      <c r="C7" s="7">
        <v>52201</v>
      </c>
      <c r="D7" s="7" t="s">
        <v>13</v>
      </c>
      <c r="E7" s="8" t="s">
        <v>120</v>
      </c>
      <c r="F7" s="9">
        <f>63487+7046+2560+32855+92786+129013+164398+5264+201195+265487+3775+52012+22331+115760+5289</f>
        <v>1163258</v>
      </c>
      <c r="G7" s="9">
        <f>'[1]0336BudgetSummary5yrForecast'!$H$11+'[1]0336BudgetSummary5yrForecast'!$H$45+'[1]0336BudgetSummary5yrForecast'!$H$62+'[1]0336BudgetSummary5yrForecast'!$H$77+'[1]0336BudgetSummary5yrForecast'!$H$97+'[1]0336BudgetSummary5yrForecast'!$H$110+'[1]0336BudgetSummary5yrForecast'!$H$128+'[1]0336BudgetSummary5yrForecast'!$H$150+'[1]0336BudgetSummary5yrForecast'!$H$167+'[1]0336BudgetSummary5yrForecast'!$H$198+'[1]0336BudgetSummary5yrForecast'!$H$221+'[1]0336BudgetSummary5yrForecast'!$H$252+'[1]0336BudgetSummary5yrForecast'!$H$280+'[1]0336BudgetSummary5yrForecast'!$H$301+'[1]0336BudgetSummary5yrForecast'!$H$315</f>
        <v>1167766.860979</v>
      </c>
      <c r="H7" s="9">
        <f aca="true" t="shared" si="0" ref="H7:H8">G7-F7</f>
        <v>4508.860979000106</v>
      </c>
    </row>
    <row r="8" spans="1:8" ht="15.5">
      <c r="A8" s="7"/>
      <c r="B8" s="8" t="s">
        <v>12</v>
      </c>
      <c r="C8" s="7">
        <v>52111</v>
      </c>
      <c r="D8" s="7" t="s">
        <v>13</v>
      </c>
      <c r="E8" s="8" t="s">
        <v>121</v>
      </c>
      <c r="F8" s="9">
        <f>17739+1864+650+9712+25159+859+41210+831+50190+81712+992+8507+3912+28234+1610</f>
        <v>273181</v>
      </c>
      <c r="G8" s="9">
        <f>'[1]0336BudgetSummary5yrForecast'!$H$10+'[1]0336BudgetSummary5yrForecast'!$H$44+'[1]0336BudgetSummary5yrForecast'!$H$61+'[1]0336BudgetSummary5yrForecast'!$H$76+'[1]0336BudgetSummary5yrForecast'!$H$96+'[1]0336BudgetSummary5yrForecast'!$H$109+'[1]0336BudgetSummary5yrForecast'!$H$127+'[1]0336BudgetSummary5yrForecast'!$H$149+'[1]0336BudgetSummary5yrForecast'!$H$166+'[1]0336BudgetSummary5yrForecast'!$H$197+'[1]0336BudgetSummary5yrForecast'!$H$220+'[1]0336BudgetSummary5yrForecast'!$H$251+'[1]0336BudgetSummary5yrForecast'!$H$279+'[1]0336BudgetSummary5yrForecast'!$H$300+'[1]0336BudgetSummary5yrForecast'!$H$314</f>
        <v>274085.58653</v>
      </c>
      <c r="H8" s="9">
        <f t="shared" si="0"/>
        <v>904.5865299999714</v>
      </c>
    </row>
    <row r="9" spans="1:8" ht="15.5">
      <c r="A9" s="4"/>
      <c r="B9" s="4"/>
      <c r="C9" s="4"/>
      <c r="D9" s="10"/>
      <c r="E9" s="4"/>
      <c r="F9" s="5"/>
      <c r="G9" s="11" t="s">
        <v>17</v>
      </c>
      <c r="H9" s="93">
        <f>SUM(H6:H8)</f>
        <v>64345.84946499951</v>
      </c>
    </row>
  </sheetData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 topLeftCell="A1">
      <selection activeCell="C10" sqref="C10"/>
    </sheetView>
  </sheetViews>
  <sheetFormatPr defaultColWidth="9.140625" defaultRowHeight="15"/>
  <cols>
    <col min="3" max="3" width="10.7109375" style="0" bestFit="1" customWidth="1"/>
    <col min="4" max="4" width="10.7109375" style="0" customWidth="1"/>
    <col min="5" max="5" width="75.28125" style="0" bestFit="1" customWidth="1"/>
    <col min="6" max="8" width="15.7109375" style="0" customWidth="1"/>
  </cols>
  <sheetData>
    <row r="1" ht="17.5">
      <c r="A1" s="1" t="s">
        <v>26</v>
      </c>
    </row>
    <row r="2" ht="15">
      <c r="A2" t="s">
        <v>0</v>
      </c>
    </row>
    <row r="4" spans="1:8" ht="15.5">
      <c r="A4" s="2" t="s">
        <v>1</v>
      </c>
      <c r="B4" s="3" t="s">
        <v>2</v>
      </c>
      <c r="C4" s="3" t="s">
        <v>3</v>
      </c>
      <c r="D4" s="2"/>
      <c r="E4" s="4"/>
      <c r="F4" s="5"/>
      <c r="G4" s="5"/>
      <c r="H4" s="5"/>
    </row>
    <row r="5" spans="1:8" ht="15.5">
      <c r="A5" s="2" t="s">
        <v>4</v>
      </c>
      <c r="B5" s="3" t="s">
        <v>5</v>
      </c>
      <c r="C5" s="3" t="s">
        <v>6</v>
      </c>
      <c r="D5" s="2" t="s">
        <v>7</v>
      </c>
      <c r="E5" s="3" t="s">
        <v>8</v>
      </c>
      <c r="F5" s="6" t="s">
        <v>9</v>
      </c>
      <c r="G5" s="6" t="s">
        <v>10</v>
      </c>
      <c r="H5" s="6" t="s">
        <v>11</v>
      </c>
    </row>
    <row r="6" spans="1:8" ht="15.5">
      <c r="A6" s="7">
        <v>26</v>
      </c>
      <c r="B6" s="8" t="s">
        <v>12</v>
      </c>
      <c r="C6" s="7"/>
      <c r="D6" s="7"/>
      <c r="E6" s="8" t="s">
        <v>27</v>
      </c>
      <c r="F6" s="9">
        <v>8298669</v>
      </c>
      <c r="G6" s="9">
        <v>8300981</v>
      </c>
      <c r="H6" s="9">
        <f>G6-F6</f>
        <v>2312</v>
      </c>
    </row>
    <row r="7" spans="1:8" ht="15.5">
      <c r="A7" s="4"/>
      <c r="B7" s="4"/>
      <c r="C7" s="4"/>
      <c r="D7" s="10"/>
      <c r="E7" s="4"/>
      <c r="F7" s="5"/>
      <c r="G7" s="11" t="s">
        <v>17</v>
      </c>
      <c r="H7" s="12">
        <f>SUM(H6:H6)</f>
        <v>2312</v>
      </c>
    </row>
    <row r="10" spans="1:8" ht="15.5">
      <c r="A10" s="13" t="s">
        <v>1</v>
      </c>
      <c r="B10" s="14"/>
      <c r="C10" s="15"/>
      <c r="D10" s="16"/>
      <c r="E10" s="17"/>
      <c r="F10" s="15"/>
      <c r="G10" s="15"/>
      <c r="H10" s="17"/>
    </row>
    <row r="11" spans="1:8" ht="15">
      <c r="A11" s="13" t="s">
        <v>4</v>
      </c>
      <c r="B11" s="18" t="s">
        <v>19</v>
      </c>
      <c r="C11" s="18" t="s">
        <v>20</v>
      </c>
      <c r="D11" s="18" t="s">
        <v>21</v>
      </c>
      <c r="E11" s="19"/>
      <c r="F11" s="19" t="s">
        <v>9</v>
      </c>
      <c r="G11" s="13" t="s">
        <v>10</v>
      </c>
      <c r="H11" s="13" t="s">
        <v>22</v>
      </c>
    </row>
    <row r="12" spans="1:8" ht="15.5">
      <c r="A12" s="20">
        <v>26</v>
      </c>
      <c r="B12" s="20">
        <v>2024</v>
      </c>
      <c r="C12" s="20"/>
      <c r="D12" s="8" t="s">
        <v>27</v>
      </c>
      <c r="E12" s="22"/>
      <c r="F12" s="23">
        <v>9710981</v>
      </c>
      <c r="G12" s="23">
        <f>-'[2]5 Year Plan (3)'!$D$48</f>
        <v>9719065.92</v>
      </c>
      <c r="H12" s="23">
        <f>G12-F12</f>
        <v>8084.9199999999255</v>
      </c>
    </row>
    <row r="13" spans="1:8" ht="15.5">
      <c r="A13" s="20">
        <v>26</v>
      </c>
      <c r="B13" s="20">
        <v>2025</v>
      </c>
      <c r="C13" s="20"/>
      <c r="D13" s="8" t="s">
        <v>27</v>
      </c>
      <c r="E13" s="22"/>
      <c r="F13" s="23">
        <v>11061072</v>
      </c>
      <c r="G13" s="23">
        <f>-'[2]5 Year Plan (3)'!$E$48</f>
        <v>11076412.139999999</v>
      </c>
      <c r="H13" s="23">
        <f aca="true" t="shared" si="0" ref="H13:H15">G13-F13</f>
        <v>15340.139999998733</v>
      </c>
    </row>
    <row r="14" spans="1:8" ht="15.5">
      <c r="A14" s="20">
        <v>26</v>
      </c>
      <c r="B14" s="20">
        <v>2026</v>
      </c>
      <c r="C14" s="20"/>
      <c r="D14" s="8" t="s">
        <v>27</v>
      </c>
      <c r="E14" s="22"/>
      <c r="F14" s="23">
        <v>12520999</v>
      </c>
      <c r="G14" s="23">
        <f>-'[2]5 Year Plan (3)'!$F$48</f>
        <v>12545121.600000001</v>
      </c>
      <c r="H14" s="23">
        <f t="shared" si="0"/>
        <v>24122.60000000149</v>
      </c>
    </row>
    <row r="15" spans="1:8" ht="15.5">
      <c r="A15" s="20">
        <v>26</v>
      </c>
      <c r="B15" s="20">
        <v>2027</v>
      </c>
      <c r="C15" s="20"/>
      <c r="D15" s="8" t="s">
        <v>27</v>
      </c>
      <c r="E15" s="22"/>
      <c r="F15" s="23">
        <v>12822165</v>
      </c>
      <c r="G15" s="23">
        <f>-'[2]5 Year Plan (3)'!$G$48</f>
        <v>12846770.8</v>
      </c>
      <c r="H15" s="23">
        <f t="shared" si="0"/>
        <v>24605.800000000745</v>
      </c>
    </row>
    <row r="16" spans="1:8" ht="15.5">
      <c r="A16" s="24"/>
      <c r="B16" s="24"/>
      <c r="C16" s="24"/>
      <c r="D16" s="25"/>
      <c r="E16" s="25"/>
      <c r="F16" s="26"/>
      <c r="G16" s="26"/>
      <c r="H16" s="26"/>
    </row>
    <row r="17" spans="1:8" ht="15.5">
      <c r="A17" s="15"/>
      <c r="B17" s="14"/>
      <c r="C17" s="15"/>
      <c r="D17" s="15"/>
      <c r="E17" s="16"/>
      <c r="F17" s="16"/>
      <c r="G17" s="27" t="s">
        <v>25</v>
      </c>
      <c r="H17" s="17">
        <f>SUM(H12:H15)</f>
        <v>72153.4600000009</v>
      </c>
    </row>
  </sheetData>
  <printOptions/>
  <pageMargins left="0.7" right="0.7" top="0.75" bottom="0.75" header="0.3" footer="0.3"/>
  <pageSetup fitToHeight="0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 topLeftCell="A1">
      <selection activeCell="D3" sqref="D3"/>
    </sheetView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12.7109375" style="0" bestFit="1" customWidth="1"/>
    <col min="4" max="4" width="75.28125" style="0" bestFit="1" customWidth="1"/>
    <col min="5" max="5" width="12.8515625" style="0" bestFit="1" customWidth="1"/>
    <col min="6" max="7" width="14.140625" style="0" customWidth="1"/>
    <col min="8" max="8" width="12.421875" style="0" bestFit="1" customWidth="1"/>
    <col min="9" max="9" width="9.140625" style="0" hidden="1" customWidth="1"/>
  </cols>
  <sheetData>
    <row r="1" spans="1:8" ht="17.5">
      <c r="A1" s="28" t="s">
        <v>28</v>
      </c>
      <c r="B1" s="29"/>
      <c r="C1" s="29"/>
      <c r="D1" s="29"/>
      <c r="E1" s="30"/>
      <c r="F1" s="30"/>
      <c r="G1" s="30"/>
      <c r="H1" s="16"/>
    </row>
    <row r="2" spans="1:8" ht="18">
      <c r="A2" s="31" t="s">
        <v>29</v>
      </c>
      <c r="B2" s="29"/>
      <c r="C2" s="29"/>
      <c r="D2" s="29"/>
      <c r="E2" s="30"/>
      <c r="F2" s="30"/>
      <c r="G2" s="30"/>
      <c r="H2" s="16"/>
    </row>
    <row r="3" spans="1:8" ht="15.5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8" ht="15.5">
      <c r="A4" s="32" t="s">
        <v>4</v>
      </c>
      <c r="B4" s="32" t="s">
        <v>5</v>
      </c>
      <c r="C4" s="33" t="s">
        <v>6</v>
      </c>
      <c r="D4" s="33" t="s">
        <v>30</v>
      </c>
      <c r="E4" s="34" t="s">
        <v>9</v>
      </c>
      <c r="F4" s="34" t="s">
        <v>10</v>
      </c>
      <c r="G4" s="34" t="s">
        <v>11</v>
      </c>
      <c r="H4" s="16"/>
    </row>
    <row r="5" spans="1:8" ht="15.5">
      <c r="A5" s="20">
        <v>63</v>
      </c>
      <c r="B5" s="20" t="s">
        <v>12</v>
      </c>
      <c r="C5" s="35" t="s">
        <v>31</v>
      </c>
      <c r="D5" s="36" t="s">
        <v>32</v>
      </c>
      <c r="E5" s="23">
        <f>(53733/1.02)*1.03</f>
        <v>54259.794117647056</v>
      </c>
      <c r="F5" s="23">
        <f>'[3]Salary Scale'!G59</f>
        <v>56652.01960784314</v>
      </c>
      <c r="G5" s="23">
        <f>F5-E5</f>
        <v>2392.225490196084</v>
      </c>
      <c r="H5" s="16"/>
    </row>
    <row r="6" spans="1:8" ht="15.5">
      <c r="A6" s="20">
        <v>63</v>
      </c>
      <c r="B6" s="20" t="s">
        <v>12</v>
      </c>
      <c r="C6" s="35" t="s">
        <v>31</v>
      </c>
      <c r="D6" s="36" t="s">
        <v>33</v>
      </c>
      <c r="E6" s="23">
        <f>(53733/1.02)*1.03</f>
        <v>54259.794117647056</v>
      </c>
      <c r="F6" s="23">
        <f>'[3]Salary Scale'!G59</f>
        <v>56652.01960784314</v>
      </c>
      <c r="G6" s="23">
        <f aca="true" t="shared" si="0" ref="G6:G16">F6-E6</f>
        <v>2392.225490196084</v>
      </c>
      <c r="H6" s="16"/>
    </row>
    <row r="7" spans="1:8" ht="15.5">
      <c r="A7" s="20">
        <v>63</v>
      </c>
      <c r="B7" s="20" t="s">
        <v>12</v>
      </c>
      <c r="C7" s="37" t="s">
        <v>34</v>
      </c>
      <c r="D7" s="36" t="s">
        <v>35</v>
      </c>
      <c r="E7" s="23">
        <f>((51322/1.02)*1.03)*2</f>
        <v>103650.3137254902</v>
      </c>
      <c r="F7" s="23">
        <f>'[3]Salary Scale'!G58*2</f>
        <v>108519.58823529411</v>
      </c>
      <c r="G7" s="23">
        <f t="shared" si="0"/>
        <v>4869.274509803916</v>
      </c>
      <c r="H7" s="16"/>
    </row>
    <row r="8" spans="1:8" ht="15.5">
      <c r="A8" s="20">
        <v>63</v>
      </c>
      <c r="B8" s="20" t="s">
        <v>12</v>
      </c>
      <c r="C8" s="36" t="s">
        <v>36</v>
      </c>
      <c r="D8" s="36" t="s">
        <v>37</v>
      </c>
      <c r="E8" s="23">
        <f>(42726/1.02)*1.03</f>
        <v>43144.882352941175</v>
      </c>
      <c r="F8" s="23">
        <f>'[3]Salary Scale'!G53</f>
        <v>44768.647058823524</v>
      </c>
      <c r="G8" s="23">
        <f t="shared" si="0"/>
        <v>1623.7647058823495</v>
      </c>
      <c r="H8" s="16"/>
    </row>
    <row r="9" spans="1:8" ht="15.5">
      <c r="A9" s="20">
        <v>63</v>
      </c>
      <c r="B9" s="20" t="s">
        <v>12</v>
      </c>
      <c r="C9" s="36" t="s">
        <v>38</v>
      </c>
      <c r="D9" s="36" t="s">
        <v>39</v>
      </c>
      <c r="E9" s="23">
        <f>(69133/1.02)*1.03</f>
        <v>69810.77450980392</v>
      </c>
      <c r="F9" s="23">
        <f>'[3]Salary Scale'!F66</f>
        <v>72627.11764705883</v>
      </c>
      <c r="G9" s="23">
        <f t="shared" si="0"/>
        <v>2816.3431372549094</v>
      </c>
      <c r="H9" s="16"/>
    </row>
    <row r="10" spans="1:8" ht="15.5">
      <c r="A10" s="20">
        <v>63</v>
      </c>
      <c r="B10" s="20" t="s">
        <v>12</v>
      </c>
      <c r="C10" s="36" t="s">
        <v>40</v>
      </c>
      <c r="D10" s="36" t="s">
        <v>41</v>
      </c>
      <c r="E10" s="23">
        <f>53733/1.02*1.03</f>
        <v>54259.794117647056</v>
      </c>
      <c r="F10" s="23">
        <f>'[3]Salary Scale'!G59</f>
        <v>56652.01960784314</v>
      </c>
      <c r="G10" s="23">
        <f t="shared" si="0"/>
        <v>2392.225490196084</v>
      </c>
      <c r="H10" s="16"/>
    </row>
    <row r="11" spans="1:8" ht="15.5">
      <c r="A11" s="20">
        <v>63</v>
      </c>
      <c r="B11" s="20" t="s">
        <v>12</v>
      </c>
      <c r="C11" s="36" t="s">
        <v>42</v>
      </c>
      <c r="D11" s="36" t="s">
        <v>43</v>
      </c>
      <c r="E11" s="23">
        <f>92690/1.02*1.03</f>
        <v>93598.72549019608</v>
      </c>
      <c r="F11" s="23">
        <f>99983/1.02*1.03</f>
        <v>100963.22549019608</v>
      </c>
      <c r="G11" s="23">
        <f t="shared" si="0"/>
        <v>7364.5</v>
      </c>
      <c r="H11" s="16"/>
    </row>
    <row r="12" spans="1:8" ht="15.5">
      <c r="A12" s="20">
        <v>63</v>
      </c>
      <c r="B12" s="20" t="s">
        <v>12</v>
      </c>
      <c r="C12" s="36" t="s">
        <v>44</v>
      </c>
      <c r="D12" s="36" t="s">
        <v>45</v>
      </c>
      <c r="E12" s="23">
        <f>63627/1.02*1.03</f>
        <v>64250.794117647056</v>
      </c>
      <c r="F12" s="23">
        <f>77948/1.02*1.03</f>
        <v>78712.19607843139</v>
      </c>
      <c r="G12" s="23">
        <f t="shared" si="0"/>
        <v>14461.40196078433</v>
      </c>
      <c r="H12" s="16"/>
    </row>
    <row r="13" spans="1:8" ht="15.5">
      <c r="A13" s="20">
        <v>63</v>
      </c>
      <c r="B13" s="20" t="s">
        <v>5</v>
      </c>
      <c r="C13" s="36" t="s">
        <v>46</v>
      </c>
      <c r="D13" s="36" t="s">
        <v>47</v>
      </c>
      <c r="E13" s="23">
        <f>58492/1.02*1.03</f>
        <v>59065.450980392154</v>
      </c>
      <c r="F13" s="23">
        <v>0</v>
      </c>
      <c r="G13" s="23">
        <f t="shared" si="0"/>
        <v>-59065.450980392154</v>
      </c>
      <c r="H13" s="16"/>
    </row>
    <row r="14" spans="1:8" ht="15.5">
      <c r="A14" s="20">
        <v>63</v>
      </c>
      <c r="B14" s="20" t="s">
        <v>12</v>
      </c>
      <c r="C14" s="36" t="s">
        <v>48</v>
      </c>
      <c r="D14" s="36" t="s">
        <v>49</v>
      </c>
      <c r="E14" s="23">
        <v>0</v>
      </c>
      <c r="F14" s="23">
        <f>'[3]Salary Scale'!G53</f>
        <v>44768.647058823524</v>
      </c>
      <c r="G14" s="23">
        <f t="shared" si="0"/>
        <v>44768.647058823524</v>
      </c>
      <c r="H14" s="16"/>
    </row>
    <row r="15" spans="1:8" ht="15.5">
      <c r="A15" s="20">
        <v>68</v>
      </c>
      <c r="B15" s="20" t="s">
        <v>12</v>
      </c>
      <c r="C15" s="20">
        <v>52111</v>
      </c>
      <c r="D15" s="36" t="s">
        <v>50</v>
      </c>
      <c r="E15" s="23">
        <v>25354</v>
      </c>
      <c r="F15" s="23">
        <f>E15+411.75</f>
        <v>25765.75</v>
      </c>
      <c r="G15" s="23">
        <f t="shared" si="0"/>
        <v>411.75</v>
      </c>
      <c r="H15" s="16"/>
    </row>
    <row r="16" spans="1:8" ht="15.5">
      <c r="A16" s="20">
        <v>68</v>
      </c>
      <c r="B16" s="20" t="s">
        <v>12</v>
      </c>
      <c r="C16" s="20">
        <v>52201</v>
      </c>
      <c r="D16" s="36" t="s">
        <v>51</v>
      </c>
      <c r="E16" s="23">
        <v>101033</v>
      </c>
      <c r="F16" s="23">
        <f>E16+1837.15</f>
        <v>102870.15</v>
      </c>
      <c r="G16" s="23">
        <f t="shared" si="0"/>
        <v>1837.1499999999942</v>
      </c>
      <c r="H16" s="16"/>
    </row>
    <row r="17" spans="1:9" ht="15.5">
      <c r="A17" s="15"/>
      <c r="B17" s="15"/>
      <c r="C17" s="15"/>
      <c r="D17" s="15"/>
      <c r="E17" s="17"/>
      <c r="F17" s="27" t="s">
        <v>17</v>
      </c>
      <c r="G17" s="38">
        <f>SUM(G5:G16)</f>
        <v>26264.05686274512</v>
      </c>
      <c r="H17" s="16"/>
      <c r="I17">
        <f>24015*1.02</f>
        <v>24495.3</v>
      </c>
    </row>
    <row r="18" spans="1:9" ht="15">
      <c r="A18" s="16"/>
      <c r="B18" s="16"/>
      <c r="C18" s="16"/>
      <c r="D18" s="16"/>
      <c r="E18" s="16"/>
      <c r="F18" s="16"/>
      <c r="G18" s="16"/>
      <c r="H18" s="16"/>
      <c r="I18">
        <f>I17*1.02</f>
        <v>24985.206</v>
      </c>
    </row>
    <row r="19" spans="1:9" ht="15">
      <c r="A19" s="16"/>
      <c r="B19" s="16"/>
      <c r="C19" s="16"/>
      <c r="D19" s="16"/>
      <c r="E19" s="16"/>
      <c r="F19" s="16"/>
      <c r="G19" s="16"/>
      <c r="H19" s="16"/>
      <c r="I19">
        <f aca="true" t="shared" si="1" ref="I19:I20">I18*1.02</f>
        <v>25484.91012</v>
      </c>
    </row>
    <row r="20" spans="1:9" ht="15.5">
      <c r="A20" s="13" t="s">
        <v>1</v>
      </c>
      <c r="B20" s="14"/>
      <c r="C20" s="15"/>
      <c r="D20" s="16"/>
      <c r="E20" s="17"/>
      <c r="F20" s="15"/>
      <c r="G20" s="15"/>
      <c r="H20" s="17"/>
      <c r="I20">
        <f t="shared" si="1"/>
        <v>25994.6083224</v>
      </c>
    </row>
    <row r="21" spans="1:7" ht="15">
      <c r="A21" s="13" t="s">
        <v>4</v>
      </c>
      <c r="B21" s="18" t="s">
        <v>19</v>
      </c>
      <c r="C21" s="18" t="s">
        <v>20</v>
      </c>
      <c r="D21" s="18" t="s">
        <v>21</v>
      </c>
      <c r="E21" s="19" t="s">
        <v>9</v>
      </c>
      <c r="F21" s="13" t="s">
        <v>10</v>
      </c>
      <c r="G21" s="13" t="s">
        <v>22</v>
      </c>
    </row>
    <row r="22" spans="1:7" ht="15.5">
      <c r="A22" s="20">
        <v>65</v>
      </c>
      <c r="B22" s="20">
        <v>2024</v>
      </c>
      <c r="C22" s="20" t="s">
        <v>52</v>
      </c>
      <c r="D22" s="21" t="s">
        <v>53</v>
      </c>
      <c r="E22" s="23">
        <f>1297683</f>
        <v>1297683</v>
      </c>
      <c r="F22" s="23">
        <f>E22+I17</f>
        <v>1322178.3</v>
      </c>
      <c r="G22" s="23">
        <f>F22-E22</f>
        <v>24495.300000000047</v>
      </c>
    </row>
    <row r="23" spans="1:7" ht="15.5">
      <c r="A23" s="20">
        <v>65</v>
      </c>
      <c r="B23" s="20">
        <v>2024</v>
      </c>
      <c r="C23" s="20" t="s">
        <v>52</v>
      </c>
      <c r="D23" s="21" t="s">
        <v>54</v>
      </c>
      <c r="E23" s="23">
        <v>321487</v>
      </c>
      <c r="F23" s="23">
        <f>E23+'[3]Position Calculator'!C48</f>
        <v>322513.060951588</v>
      </c>
      <c r="G23" s="23">
        <f aca="true" t="shared" si="2" ref="G23:G29">F23-E23</f>
        <v>1026.060951587977</v>
      </c>
    </row>
    <row r="24" spans="1:7" ht="15.5">
      <c r="A24" s="20">
        <v>65</v>
      </c>
      <c r="B24" s="20">
        <v>2025</v>
      </c>
      <c r="C24" s="20" t="s">
        <v>52</v>
      </c>
      <c r="D24" s="21" t="s">
        <v>53</v>
      </c>
      <c r="E24" s="23">
        <f>E22</f>
        <v>1297683</v>
      </c>
      <c r="F24" s="23">
        <f>E24+I18</f>
        <v>1322668.206</v>
      </c>
      <c r="G24" s="23">
        <f t="shared" si="2"/>
        <v>24985.206000000006</v>
      </c>
    </row>
    <row r="25" spans="1:7" ht="15.5">
      <c r="A25" s="20">
        <v>65</v>
      </c>
      <c r="B25" s="20">
        <v>2025</v>
      </c>
      <c r="C25" s="20" t="s">
        <v>52</v>
      </c>
      <c r="D25" s="21" t="s">
        <v>54</v>
      </c>
      <c r="E25" s="23">
        <v>331813</v>
      </c>
      <c r="F25" s="23">
        <f>E25+'[3]Position Calculator'!D48</f>
        <v>332859.58217061975</v>
      </c>
      <c r="G25" s="23">
        <f t="shared" si="2"/>
        <v>1046.5821706197457</v>
      </c>
    </row>
    <row r="26" spans="1:7" ht="15.5">
      <c r="A26" s="20">
        <v>65</v>
      </c>
      <c r="B26" s="20">
        <v>2026</v>
      </c>
      <c r="C26" s="20" t="s">
        <v>52</v>
      </c>
      <c r="D26" s="21" t="s">
        <v>53</v>
      </c>
      <c r="E26" s="23">
        <f>E24</f>
        <v>1297683</v>
      </c>
      <c r="F26" s="23">
        <f>E26+I19</f>
        <v>1323167.91012</v>
      </c>
      <c r="G26" s="23">
        <f t="shared" si="2"/>
        <v>25484.9101199999</v>
      </c>
    </row>
    <row r="27" spans="1:7" ht="15.5">
      <c r="A27" s="20">
        <v>65</v>
      </c>
      <c r="B27" s="20">
        <v>2026</v>
      </c>
      <c r="C27" s="20" t="s">
        <v>52</v>
      </c>
      <c r="D27" s="21" t="s">
        <v>54</v>
      </c>
      <c r="E27" s="23">
        <v>342759</v>
      </c>
      <c r="F27" s="23">
        <f>E27+'[3]Position Calculator'!E48</f>
        <v>343826.51381403214</v>
      </c>
      <c r="G27" s="23">
        <f t="shared" si="2"/>
        <v>1067.513814032136</v>
      </c>
    </row>
    <row r="28" spans="1:7" ht="15.5">
      <c r="A28" s="20">
        <v>65</v>
      </c>
      <c r="B28" s="20">
        <v>2027</v>
      </c>
      <c r="C28" s="20" t="s">
        <v>52</v>
      </c>
      <c r="D28" s="21" t="s">
        <v>53</v>
      </c>
      <c r="E28" s="23">
        <v>1323636</v>
      </c>
      <c r="F28" s="23">
        <f>E28+I20</f>
        <v>1349630.6083224</v>
      </c>
      <c r="G28" s="23">
        <f t="shared" si="2"/>
        <v>25994.6083223999</v>
      </c>
    </row>
    <row r="29" spans="1:7" ht="15.5">
      <c r="A29" s="20">
        <v>65</v>
      </c>
      <c r="B29" s="20">
        <v>2027</v>
      </c>
      <c r="C29" s="20" t="s">
        <v>52</v>
      </c>
      <c r="D29" s="21" t="s">
        <v>54</v>
      </c>
      <c r="E29" s="23">
        <v>369094</v>
      </c>
      <c r="F29" s="23">
        <f>E29+'[3]Position Calculator'!F48</f>
        <v>370182.8640903128</v>
      </c>
      <c r="G29" s="23">
        <f t="shared" si="2"/>
        <v>1088.8640903127962</v>
      </c>
    </row>
    <row r="30" spans="1:8" ht="15.5">
      <c r="A30" s="15"/>
      <c r="B30" s="14"/>
      <c r="C30" s="15"/>
      <c r="D30" s="15"/>
      <c r="E30" s="16"/>
      <c r="F30" s="27" t="s">
        <v>25</v>
      </c>
      <c r="G30" s="39">
        <f>SUM(G22:G29)</f>
        <v>105189.0454689525</v>
      </c>
      <c r="H30" s="17"/>
    </row>
  </sheetData>
  <printOptions/>
  <pageMargins left="0.7" right="0.7" top="0.75" bottom="0.75" header="0.3" footer="0.3"/>
  <pageSetup fitToHeight="0" fitToWidth="1"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 topLeftCell="A1">
      <selection activeCell="D3" sqref="D3"/>
    </sheetView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28.421875" style="0" customWidth="1"/>
    <col min="4" max="4" width="75.28125" style="0" bestFit="1" customWidth="1"/>
    <col min="5" max="5" width="14.28125" style="0" bestFit="1" customWidth="1"/>
    <col min="6" max="7" width="14.140625" style="0" customWidth="1"/>
    <col min="8" max="8" width="12.421875" style="0" bestFit="1" customWidth="1"/>
    <col min="9" max="15" width="9.140625" style="0" hidden="1" customWidth="1"/>
  </cols>
  <sheetData>
    <row r="1" spans="1:8" ht="17.5">
      <c r="A1" s="28" t="s">
        <v>58</v>
      </c>
      <c r="B1" s="29"/>
      <c r="C1" s="29"/>
      <c r="D1" s="29"/>
      <c r="E1" s="30"/>
      <c r="F1" s="30"/>
      <c r="G1" s="30"/>
      <c r="H1" s="16"/>
    </row>
    <row r="2" spans="1:8" ht="18">
      <c r="A2" s="31" t="s">
        <v>0</v>
      </c>
      <c r="B2" s="29"/>
      <c r="C2" s="29"/>
      <c r="D2" s="29"/>
      <c r="E2" s="30"/>
      <c r="F2" s="30"/>
      <c r="G2" s="30"/>
      <c r="H2" s="16"/>
    </row>
    <row r="3" spans="1:8" ht="15.5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8" ht="15.5">
      <c r="A4" s="32" t="s">
        <v>4</v>
      </c>
      <c r="B4" s="32" t="s">
        <v>5</v>
      </c>
      <c r="C4" s="33" t="s">
        <v>6</v>
      </c>
      <c r="D4" s="33" t="s">
        <v>59</v>
      </c>
      <c r="E4" s="34" t="s">
        <v>9</v>
      </c>
      <c r="F4" s="34" t="s">
        <v>10</v>
      </c>
      <c r="G4" s="34" t="s">
        <v>11</v>
      </c>
      <c r="H4" s="16"/>
    </row>
    <row r="5" spans="1:8" ht="15.5">
      <c r="A5" s="20">
        <v>233</v>
      </c>
      <c r="B5" s="20" t="s">
        <v>5</v>
      </c>
      <c r="C5" s="40" t="s">
        <v>60</v>
      </c>
      <c r="D5" s="36" t="s">
        <v>61</v>
      </c>
      <c r="E5" s="23">
        <f>84968/1.02*1.03</f>
        <v>85801.01960784313</v>
      </c>
      <c r="F5" s="23">
        <v>0</v>
      </c>
      <c r="G5" s="23">
        <f>F5-E5</f>
        <v>-85801.01960784313</v>
      </c>
      <c r="H5" s="16"/>
    </row>
    <row r="6" spans="1:8" ht="15.5">
      <c r="A6" s="20">
        <v>233</v>
      </c>
      <c r="B6" s="20" t="s">
        <v>12</v>
      </c>
      <c r="C6" s="40" t="s">
        <v>62</v>
      </c>
      <c r="D6" s="36" t="s">
        <v>63</v>
      </c>
      <c r="E6" s="23">
        <v>0</v>
      </c>
      <c r="F6" s="23">
        <f>'[3]Salary Scale'!F73</f>
        <v>96543.3137254902</v>
      </c>
      <c r="G6" s="23">
        <f aca="true" t="shared" si="0" ref="G6:G8">F6-E6</f>
        <v>96543.3137254902</v>
      </c>
      <c r="H6" s="41"/>
    </row>
    <row r="7" spans="1:8" ht="15.5">
      <c r="A7" s="20">
        <v>233</v>
      </c>
      <c r="B7" s="20" t="s">
        <v>12</v>
      </c>
      <c r="C7" s="20">
        <v>52111</v>
      </c>
      <c r="D7" s="36" t="s">
        <v>50</v>
      </c>
      <c r="E7" s="23">
        <f>30.89+255.96+132.82+594.6+712.81+67.2</f>
        <v>1794.28</v>
      </c>
      <c r="F7" s="23">
        <f>E7+'[3]Position Calculator'!B39+'[3]Position Calculator'!B43+'[3]Position Calculator'!B44+'[3]Position Calculator'!B45</f>
        <v>2044.9767960000001</v>
      </c>
      <c r="G7" s="23">
        <f t="shared" si="0"/>
        <v>250.69679600000018</v>
      </c>
      <c r="H7" s="16"/>
    </row>
    <row r="8" spans="1:8" ht="15.5">
      <c r="A8" s="20">
        <v>233</v>
      </c>
      <c r="B8" s="20" t="s">
        <v>12</v>
      </c>
      <c r="C8" s="20">
        <v>52201</v>
      </c>
      <c r="D8" s="36" t="s">
        <v>51</v>
      </c>
      <c r="E8" s="23">
        <f>5319.67+712.81</f>
        <v>6032.48</v>
      </c>
      <c r="F8" s="23">
        <f>E8+'[3]Position Calculator'!B46+'[3]Position Calculator'!B45</f>
        <v>6854.2429999999995</v>
      </c>
      <c r="G8" s="23">
        <f t="shared" si="0"/>
        <v>821.7629999999999</v>
      </c>
      <c r="H8" s="16"/>
    </row>
    <row r="9" spans="1:8" ht="15.5">
      <c r="A9" s="15"/>
      <c r="B9" s="15"/>
      <c r="C9" s="15"/>
      <c r="D9" s="15"/>
      <c r="E9" s="17"/>
      <c r="F9" s="27" t="s">
        <v>17</v>
      </c>
      <c r="G9" s="38">
        <f>SUM(G5:G8)</f>
        <v>11814.753913647062</v>
      </c>
      <c r="H9" s="16"/>
    </row>
    <row r="10" spans="1:8" ht="15">
      <c r="A10" s="16"/>
      <c r="B10" s="16"/>
      <c r="C10" s="16"/>
      <c r="D10" s="16"/>
      <c r="E10" s="16"/>
      <c r="F10" s="16"/>
      <c r="G10" s="16"/>
      <c r="H10" s="16"/>
    </row>
    <row r="11" spans="1:8" ht="15">
      <c r="A11" s="16"/>
      <c r="B11" s="16"/>
      <c r="C11" s="16"/>
      <c r="D11" s="16"/>
      <c r="E11" s="16"/>
      <c r="F11" s="16"/>
      <c r="G11" s="16"/>
      <c r="H11" s="16"/>
    </row>
    <row r="12" spans="1:8" ht="15.5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7" ht="15">
      <c r="A13" s="13" t="s">
        <v>4</v>
      </c>
      <c r="B13" s="18" t="s">
        <v>19</v>
      </c>
      <c r="C13" s="18" t="s">
        <v>20</v>
      </c>
      <c r="D13" s="18" t="s">
        <v>21</v>
      </c>
      <c r="E13" s="19" t="s">
        <v>9</v>
      </c>
      <c r="F13" s="13" t="s">
        <v>10</v>
      </c>
      <c r="G13" s="13" t="s">
        <v>22</v>
      </c>
    </row>
    <row r="14" spans="1:12" ht="15.5">
      <c r="A14" s="42">
        <v>235</v>
      </c>
      <c r="B14" s="43">
        <v>2024</v>
      </c>
      <c r="C14" s="20" t="s">
        <v>59</v>
      </c>
      <c r="D14" s="44" t="s">
        <v>64</v>
      </c>
      <c r="E14" s="45">
        <v>7536258</v>
      </c>
      <c r="F14" s="46">
        <v>7547214.84</v>
      </c>
      <c r="G14" s="46">
        <f>F14-E14</f>
        <v>10956.839999999851</v>
      </c>
      <c r="I14">
        <v>10956.84</v>
      </c>
      <c r="J14">
        <v>11175.9768</v>
      </c>
      <c r="K14">
        <v>11399.496336</v>
      </c>
      <c r="L14">
        <v>11627.48626272</v>
      </c>
    </row>
    <row r="15" spans="1:12" ht="15.5">
      <c r="A15" s="42">
        <v>235</v>
      </c>
      <c r="B15" s="43">
        <v>2024</v>
      </c>
      <c r="C15" s="20" t="s">
        <v>59</v>
      </c>
      <c r="D15" s="21" t="s">
        <v>65</v>
      </c>
      <c r="E15" s="45">
        <v>2350987</v>
      </c>
      <c r="F15" s="46">
        <v>2353039.121903176</v>
      </c>
      <c r="G15" s="46">
        <f aca="true" t="shared" si="1" ref="G15:G21">F15-E15</f>
        <v>2052.121903175954</v>
      </c>
      <c r="I15" s="47">
        <v>2052.121903176</v>
      </c>
      <c r="J15" s="47">
        <v>2093.16434123952</v>
      </c>
      <c r="K15" s="47">
        <v>2135.02762806431</v>
      </c>
      <c r="L15" s="47">
        <v>2177.728180625597</v>
      </c>
    </row>
    <row r="16" spans="1:7" ht="15.5">
      <c r="A16" s="42">
        <v>235</v>
      </c>
      <c r="B16" s="43">
        <v>2025</v>
      </c>
      <c r="C16" s="20" t="s">
        <v>59</v>
      </c>
      <c r="D16" s="44" t="s">
        <v>64</v>
      </c>
      <c r="E16" s="45">
        <v>7615141</v>
      </c>
      <c r="F16" s="46">
        <v>7626316.9768</v>
      </c>
      <c r="G16" s="46">
        <f t="shared" si="1"/>
        <v>11175.976800000295</v>
      </c>
    </row>
    <row r="17" spans="1:7" ht="15.5">
      <c r="A17" s="42">
        <v>235</v>
      </c>
      <c r="B17" s="43">
        <v>2025</v>
      </c>
      <c r="C17" s="20" t="s">
        <v>59</v>
      </c>
      <c r="D17" s="21" t="s">
        <v>65</v>
      </c>
      <c r="E17" s="45">
        <v>2441648</v>
      </c>
      <c r="F17" s="46">
        <v>2443741.1643412397</v>
      </c>
      <c r="G17" s="46">
        <f t="shared" si="1"/>
        <v>2093.1643412397243</v>
      </c>
    </row>
    <row r="18" spans="1:7" ht="15.5">
      <c r="A18" s="42">
        <v>235</v>
      </c>
      <c r="B18" s="43">
        <v>2026</v>
      </c>
      <c r="C18" s="20" t="s">
        <v>59</v>
      </c>
      <c r="D18" s="44" t="s">
        <v>64</v>
      </c>
      <c r="E18" s="45">
        <v>7679682</v>
      </c>
      <c r="F18" s="46">
        <v>7691081.496336</v>
      </c>
      <c r="G18" s="46">
        <f t="shared" si="1"/>
        <v>11399.49633600004</v>
      </c>
    </row>
    <row r="19" spans="1:7" ht="15.5">
      <c r="A19" s="42">
        <v>235</v>
      </c>
      <c r="B19" s="43">
        <v>2026</v>
      </c>
      <c r="C19" s="20" t="s">
        <v>59</v>
      </c>
      <c r="D19" s="21" t="s">
        <v>65</v>
      </c>
      <c r="E19" s="45">
        <v>2535875</v>
      </c>
      <c r="F19" s="46">
        <v>2538010.027628064</v>
      </c>
      <c r="G19" s="46">
        <f t="shared" si="1"/>
        <v>2135.0276280641556</v>
      </c>
    </row>
    <row r="20" spans="1:7" ht="15.5">
      <c r="A20" s="42">
        <v>235</v>
      </c>
      <c r="B20" s="43">
        <v>2027</v>
      </c>
      <c r="C20" s="20" t="s">
        <v>59</v>
      </c>
      <c r="D20" s="44" t="s">
        <v>64</v>
      </c>
      <c r="E20" s="45">
        <v>7829817</v>
      </c>
      <c r="F20" s="46">
        <v>7841444.48626272</v>
      </c>
      <c r="G20" s="46">
        <f t="shared" si="1"/>
        <v>11627.486262720078</v>
      </c>
    </row>
    <row r="21" spans="1:7" ht="15.5">
      <c r="A21" s="42">
        <v>235</v>
      </c>
      <c r="B21" s="43">
        <v>2027</v>
      </c>
      <c r="C21" s="20" t="s">
        <v>59</v>
      </c>
      <c r="D21" s="21" t="s">
        <v>65</v>
      </c>
      <c r="E21" s="45">
        <v>2643559</v>
      </c>
      <c r="F21" s="46">
        <v>2645736.7281806255</v>
      </c>
      <c r="G21" s="46">
        <f t="shared" si="1"/>
        <v>2177.728180625476</v>
      </c>
    </row>
    <row r="22" spans="1:8" ht="15.5">
      <c r="A22" s="15"/>
      <c r="B22" s="14"/>
      <c r="C22" s="15"/>
      <c r="D22" s="15"/>
      <c r="E22" s="16"/>
      <c r="F22" s="27" t="s">
        <v>25</v>
      </c>
      <c r="G22" s="27">
        <f>SUM(G14:G21)</f>
        <v>53617.841451825574</v>
      </c>
      <c r="H22" s="17"/>
    </row>
  </sheetData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 topLeftCell="A1">
      <selection activeCell="C12" sqref="C12"/>
    </sheetView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28.421875" style="0" customWidth="1"/>
    <col min="4" max="4" width="75.28125" style="0" bestFit="1" customWidth="1"/>
    <col min="5" max="5" width="12.8515625" style="0" bestFit="1" customWidth="1"/>
    <col min="6" max="7" width="14.140625" style="0" customWidth="1"/>
    <col min="8" max="8" width="12.421875" style="0" hidden="1" customWidth="1"/>
    <col min="9" max="10" width="10.140625" style="0" hidden="1" customWidth="1"/>
    <col min="11" max="11" width="12.28125" style="0" hidden="1" customWidth="1"/>
    <col min="12" max="12" width="11.28125" style="0" hidden="1" customWidth="1"/>
  </cols>
  <sheetData>
    <row r="1" spans="1:8" ht="17.5">
      <c r="A1" s="28" t="s">
        <v>66</v>
      </c>
      <c r="B1" s="29"/>
      <c r="C1" s="29"/>
      <c r="D1" s="29"/>
      <c r="E1" s="30"/>
      <c r="F1" s="30"/>
      <c r="G1" s="30"/>
      <c r="H1" s="16"/>
    </row>
    <row r="2" spans="1:8" ht="18">
      <c r="A2" s="31" t="s">
        <v>67</v>
      </c>
      <c r="B2" s="29"/>
      <c r="C2" s="29"/>
      <c r="D2" s="29"/>
      <c r="E2" s="30"/>
      <c r="F2" s="30"/>
      <c r="G2" s="30"/>
      <c r="H2" s="16"/>
    </row>
    <row r="3" spans="1:8" ht="15.5">
      <c r="A3" s="32" t="s">
        <v>1</v>
      </c>
      <c r="B3" s="32" t="s">
        <v>2</v>
      </c>
      <c r="C3" s="33" t="s">
        <v>3</v>
      </c>
      <c r="D3" s="4"/>
      <c r="E3" s="16"/>
      <c r="F3" s="17"/>
      <c r="G3" s="17"/>
      <c r="H3" s="16"/>
    </row>
    <row r="4" spans="1:8" ht="15.5">
      <c r="A4" s="32" t="s">
        <v>4</v>
      </c>
      <c r="B4" s="32" t="s">
        <v>5</v>
      </c>
      <c r="C4" s="33" t="s">
        <v>6</v>
      </c>
      <c r="D4" s="33" t="s">
        <v>68</v>
      </c>
      <c r="E4" s="34" t="s">
        <v>9</v>
      </c>
      <c r="F4" s="34" t="s">
        <v>10</v>
      </c>
      <c r="G4" s="34" t="s">
        <v>11</v>
      </c>
      <c r="H4" s="16"/>
    </row>
    <row r="5" spans="1:8" ht="15.5">
      <c r="A5" s="20">
        <v>241</v>
      </c>
      <c r="B5" s="20" t="s">
        <v>12</v>
      </c>
      <c r="C5" s="40" t="s">
        <v>69</v>
      </c>
      <c r="D5" s="36" t="s">
        <v>70</v>
      </c>
      <c r="E5" s="23">
        <v>0</v>
      </c>
      <c r="F5" s="23">
        <f>'[3]Salary Scale'!E16</f>
        <v>47822</v>
      </c>
      <c r="G5" s="23">
        <f>F5-E5</f>
        <v>47822</v>
      </c>
      <c r="H5" s="16"/>
    </row>
    <row r="6" spans="1:8" ht="15.5">
      <c r="A6" s="20">
        <v>242</v>
      </c>
      <c r="B6" s="20" t="s">
        <v>12</v>
      </c>
      <c r="C6" s="20">
        <v>52101</v>
      </c>
      <c r="D6" s="36" t="s">
        <v>71</v>
      </c>
      <c r="E6" s="23">
        <v>0</v>
      </c>
      <c r="F6" s="23">
        <f>'[3]Position Calculator'!B6</f>
        <v>6488</v>
      </c>
      <c r="G6" s="23">
        <f aca="true" t="shared" si="0" ref="G6:G8">F6-E6</f>
        <v>6488</v>
      </c>
      <c r="H6" s="41">
        <f>SUM(G5:G6)</f>
        <v>54310</v>
      </c>
    </row>
    <row r="7" spans="1:8" ht="15.5">
      <c r="A7" s="20">
        <v>242</v>
      </c>
      <c r="B7" s="20" t="s">
        <v>12</v>
      </c>
      <c r="C7" s="20">
        <v>52111</v>
      </c>
      <c r="D7" s="36" t="s">
        <v>50</v>
      </c>
      <c r="E7" s="23">
        <v>0</v>
      </c>
      <c r="F7" s="23">
        <f>'[3]Position Calculator'!B16</f>
        <v>3285.2034084</v>
      </c>
      <c r="G7" s="23">
        <f t="shared" si="0"/>
        <v>3285.2034084</v>
      </c>
      <c r="H7" s="16"/>
    </row>
    <row r="8" spans="1:8" ht="15.5">
      <c r="A8" s="20">
        <v>242</v>
      </c>
      <c r="B8" s="20" t="s">
        <v>12</v>
      </c>
      <c r="C8" s="20">
        <v>52201</v>
      </c>
      <c r="D8" s="36" t="s">
        <v>51</v>
      </c>
      <c r="E8" s="23">
        <v>0</v>
      </c>
      <c r="F8" s="23">
        <f>'[3]Position Calculator'!B17</f>
        <v>6436.344</v>
      </c>
      <c r="G8" s="23">
        <f t="shared" si="0"/>
        <v>6436.344</v>
      </c>
      <c r="H8" s="16"/>
    </row>
    <row r="9" spans="1:8" ht="15.5">
      <c r="A9" s="15"/>
      <c r="B9" s="15"/>
      <c r="C9" s="15"/>
      <c r="D9" s="15"/>
      <c r="E9" s="17"/>
      <c r="F9" s="27" t="s">
        <v>17</v>
      </c>
      <c r="G9" s="38">
        <f>SUM(G5:G8)</f>
        <v>64031.547408399994</v>
      </c>
      <c r="H9" s="16"/>
    </row>
    <row r="10" spans="1:8" ht="15">
      <c r="A10" s="16"/>
      <c r="B10" s="16"/>
      <c r="C10" s="16"/>
      <c r="D10" s="16"/>
      <c r="E10" s="16"/>
      <c r="F10" s="16"/>
      <c r="G10" s="16"/>
      <c r="H10" s="16"/>
    </row>
    <row r="11" spans="1:8" ht="15">
      <c r="A11" s="16"/>
      <c r="B11" s="16"/>
      <c r="C11" s="16"/>
      <c r="D11" s="16"/>
      <c r="E11" s="16"/>
      <c r="F11" s="16"/>
      <c r="G11" s="16"/>
      <c r="H11" s="16"/>
    </row>
    <row r="12" spans="1:8" ht="15.5">
      <c r="A12" s="13" t="s">
        <v>1</v>
      </c>
      <c r="B12" s="14"/>
      <c r="C12" s="15"/>
      <c r="D12" s="16"/>
      <c r="E12" s="17"/>
      <c r="F12" s="15"/>
      <c r="G12" s="15"/>
      <c r="H12" s="17"/>
    </row>
    <row r="13" spans="1:7" ht="15">
      <c r="A13" s="13" t="s">
        <v>4</v>
      </c>
      <c r="B13" s="18" t="s">
        <v>19</v>
      </c>
      <c r="C13" s="18" t="s">
        <v>20</v>
      </c>
      <c r="D13" s="18" t="s">
        <v>21</v>
      </c>
      <c r="E13" s="19" t="s">
        <v>9</v>
      </c>
      <c r="F13" s="13" t="s">
        <v>10</v>
      </c>
      <c r="G13" s="13" t="s">
        <v>22</v>
      </c>
    </row>
    <row r="14" spans="1:12" ht="15.5">
      <c r="A14" s="20">
        <v>243</v>
      </c>
      <c r="B14" s="20">
        <v>2024</v>
      </c>
      <c r="C14" s="20" t="s">
        <v>68</v>
      </c>
      <c r="D14" s="44" t="s">
        <v>64</v>
      </c>
      <c r="E14" s="23">
        <v>525018</v>
      </c>
      <c r="F14" s="23">
        <f>E14+I14</f>
        <v>573796.44</v>
      </c>
      <c r="G14" s="23">
        <f>F14-E14</f>
        <v>48778.439999999944</v>
      </c>
      <c r="I14" s="47">
        <f>F5*1.02</f>
        <v>48778.44</v>
      </c>
      <c r="J14" s="47">
        <f>I14*1.02</f>
        <v>49754.0088</v>
      </c>
      <c r="K14" s="47">
        <f aca="true" t="shared" si="1" ref="K14:L14">J14*1.02</f>
        <v>50749.08897600001</v>
      </c>
      <c r="L14" s="47">
        <f t="shared" si="1"/>
        <v>51764.070755520006</v>
      </c>
    </row>
    <row r="15" spans="1:13" ht="15.5">
      <c r="A15" s="20">
        <v>243</v>
      </c>
      <c r="B15" s="20">
        <v>2024</v>
      </c>
      <c r="C15" s="20" t="s">
        <v>68</v>
      </c>
      <c r="D15" s="21" t="s">
        <v>65</v>
      </c>
      <c r="E15" s="23">
        <v>154129</v>
      </c>
      <c r="F15" s="23">
        <f>E15+I15</f>
        <v>173364.667956568</v>
      </c>
      <c r="G15" s="23">
        <f aca="true" t="shared" si="2" ref="G15:G21">F15-E15</f>
        <v>19235.66795656801</v>
      </c>
      <c r="I15" s="47">
        <f>'[3]Position Calculator'!C18</f>
        <v>19235.667956568</v>
      </c>
      <c r="J15" s="47">
        <f>'[3]Position Calculator'!D18</f>
        <v>19984.392099699362</v>
      </c>
      <c r="K15" s="47">
        <f>'[3]Position Calculator'!E18</f>
        <v>20769.968442173347</v>
      </c>
      <c r="L15" s="47">
        <f>'[3]Position Calculator'!F18</f>
        <v>21595.072559816817</v>
      </c>
      <c r="M15" s="47"/>
    </row>
    <row r="16" spans="1:7" ht="15.5">
      <c r="A16" s="20">
        <v>243</v>
      </c>
      <c r="B16" s="20">
        <v>2025</v>
      </c>
      <c r="C16" s="20" t="s">
        <v>68</v>
      </c>
      <c r="D16" s="44" t="s">
        <v>64</v>
      </c>
      <c r="E16" s="23">
        <v>535073</v>
      </c>
      <c r="F16" s="23">
        <f>E16+J14</f>
        <v>584827.0088</v>
      </c>
      <c r="G16" s="23">
        <f t="shared" si="2"/>
        <v>49754.00879999995</v>
      </c>
    </row>
    <row r="17" spans="1:7" ht="15.5">
      <c r="A17" s="20">
        <v>243</v>
      </c>
      <c r="B17" s="20">
        <v>2025</v>
      </c>
      <c r="C17" s="20" t="s">
        <v>68</v>
      </c>
      <c r="D17" s="21" t="s">
        <v>65</v>
      </c>
      <c r="E17" s="23">
        <v>160500</v>
      </c>
      <c r="F17" s="23">
        <f>E17+J15</f>
        <v>180484.39209969935</v>
      </c>
      <c r="G17" s="23">
        <f t="shared" si="2"/>
        <v>19984.392099699355</v>
      </c>
    </row>
    <row r="18" spans="1:7" ht="15.5">
      <c r="A18" s="20">
        <v>243</v>
      </c>
      <c r="B18" s="20">
        <v>2026</v>
      </c>
      <c r="C18" s="20" t="s">
        <v>68</v>
      </c>
      <c r="D18" s="44" t="s">
        <v>64</v>
      </c>
      <c r="E18" s="23">
        <v>541977</v>
      </c>
      <c r="F18" s="23">
        <f>E18+K14</f>
        <v>592726.088976</v>
      </c>
      <c r="G18" s="23">
        <f t="shared" si="2"/>
        <v>50749.08897599997</v>
      </c>
    </row>
    <row r="19" spans="1:7" ht="15.5">
      <c r="A19" s="20">
        <v>243</v>
      </c>
      <c r="B19" s="20">
        <v>2026</v>
      </c>
      <c r="C19" s="20" t="s">
        <v>68</v>
      </c>
      <c r="D19" s="21" t="s">
        <v>65</v>
      </c>
      <c r="E19" s="23">
        <v>166893</v>
      </c>
      <c r="F19" s="23">
        <f>E19+K15</f>
        <v>187662.96844217335</v>
      </c>
      <c r="G19" s="23">
        <f t="shared" si="2"/>
        <v>20769.968442173355</v>
      </c>
    </row>
    <row r="20" spans="1:7" ht="15.5">
      <c r="A20" s="20">
        <v>243</v>
      </c>
      <c r="B20" s="20">
        <v>2027</v>
      </c>
      <c r="C20" s="20" t="s">
        <v>68</v>
      </c>
      <c r="D20" s="44" t="s">
        <v>64</v>
      </c>
      <c r="E20" s="23">
        <v>552717</v>
      </c>
      <c r="F20" s="23">
        <f>E20+L14</f>
        <v>604481.07075552</v>
      </c>
      <c r="G20" s="23">
        <f t="shared" si="2"/>
        <v>51764.07075552002</v>
      </c>
    </row>
    <row r="21" spans="1:7" ht="15.5">
      <c r="A21" s="20">
        <v>243</v>
      </c>
      <c r="B21" s="20">
        <v>2027</v>
      </c>
      <c r="C21" s="20" t="s">
        <v>68</v>
      </c>
      <c r="D21" s="21" t="s">
        <v>65</v>
      </c>
      <c r="E21" s="23">
        <v>173995</v>
      </c>
      <c r="F21" s="23">
        <f>E21+L15</f>
        <v>195590.07255981682</v>
      </c>
      <c r="G21" s="23">
        <f t="shared" si="2"/>
        <v>21595.07255981682</v>
      </c>
    </row>
    <row r="22" spans="1:7" ht="15.5">
      <c r="A22" s="15"/>
      <c r="B22" s="14"/>
      <c r="C22" s="15"/>
      <c r="D22" s="15"/>
      <c r="E22" s="41"/>
      <c r="F22" s="27" t="s">
        <v>25</v>
      </c>
      <c r="G22" s="48">
        <f>SUM(G14:G21)</f>
        <v>282630.7095897774</v>
      </c>
    </row>
  </sheetData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0"/>
  <sheetViews>
    <sheetView workbookViewId="0" topLeftCell="A1"/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28.421875" style="0" customWidth="1"/>
    <col min="4" max="4" width="75.28125" style="0" bestFit="1" customWidth="1"/>
    <col min="5" max="5" width="12.8515625" style="0" bestFit="1" customWidth="1"/>
    <col min="6" max="7" width="14.140625" style="0" customWidth="1"/>
    <col min="8" max="8" width="43.57421875" style="0" hidden="1" customWidth="1"/>
    <col min="9" max="30" width="9.140625" style="0" hidden="1" customWidth="1"/>
  </cols>
  <sheetData>
    <row r="1" spans="1:7" ht="17.5">
      <c r="A1" s="28" t="s">
        <v>72</v>
      </c>
      <c r="B1" s="29"/>
      <c r="C1" s="29"/>
      <c r="D1" s="29"/>
      <c r="E1" s="30"/>
      <c r="F1" s="30"/>
      <c r="G1" s="30"/>
    </row>
    <row r="2" spans="1:7" ht="18">
      <c r="A2" s="31" t="s">
        <v>0</v>
      </c>
      <c r="B2" s="29"/>
      <c r="C2" s="29"/>
      <c r="D2" s="29"/>
      <c r="E2" s="30"/>
      <c r="F2" s="30"/>
      <c r="G2" s="30"/>
    </row>
    <row r="3" spans="1:7" ht="18">
      <c r="A3" s="31"/>
      <c r="B3" s="29"/>
      <c r="C3" s="29"/>
      <c r="D3" s="29"/>
      <c r="E3" s="30"/>
      <c r="F3" s="30"/>
      <c r="G3" s="30"/>
    </row>
    <row r="4" spans="1:29" ht="15.5">
      <c r="A4" s="101" t="s">
        <v>1</v>
      </c>
      <c r="B4" s="101" t="s">
        <v>2</v>
      </c>
      <c r="C4" s="100" t="s">
        <v>3</v>
      </c>
      <c r="D4" s="4"/>
      <c r="E4" s="4"/>
      <c r="F4" s="16"/>
      <c r="G4" s="17"/>
      <c r="H4" s="16"/>
      <c r="J4" s="180">
        <v>2023</v>
      </c>
      <c r="K4" s="181"/>
      <c r="L4" s="181"/>
      <c r="M4" s="182"/>
      <c r="N4" s="183">
        <v>2024</v>
      </c>
      <c r="O4" s="184"/>
      <c r="P4" s="184"/>
      <c r="Q4" s="185"/>
      <c r="R4" s="186">
        <v>2025</v>
      </c>
      <c r="S4" s="187"/>
      <c r="T4" s="187"/>
      <c r="U4" s="188"/>
      <c r="V4" s="167">
        <v>2026</v>
      </c>
      <c r="W4" s="168"/>
      <c r="X4" s="168"/>
      <c r="Y4" s="169"/>
      <c r="Z4" s="170">
        <v>2027</v>
      </c>
      <c r="AA4" s="171"/>
      <c r="AB4" s="171"/>
      <c r="AC4" s="172"/>
    </row>
    <row r="5" spans="1:29" ht="15.5">
      <c r="A5" s="101" t="s">
        <v>4</v>
      </c>
      <c r="B5" s="101" t="s">
        <v>5</v>
      </c>
      <c r="C5" s="100" t="s">
        <v>6</v>
      </c>
      <c r="D5" s="98" t="s">
        <v>88</v>
      </c>
      <c r="E5" s="34" t="s">
        <v>9</v>
      </c>
      <c r="F5" s="34" t="s">
        <v>10</v>
      </c>
      <c r="G5" s="34" t="s">
        <v>11</v>
      </c>
      <c r="H5" s="16"/>
      <c r="J5" s="51" t="s">
        <v>74</v>
      </c>
      <c r="K5" s="51" t="s">
        <v>75</v>
      </c>
      <c r="L5" s="51" t="s">
        <v>76</v>
      </c>
      <c r="M5" s="51" t="s">
        <v>77</v>
      </c>
      <c r="N5" s="52" t="s">
        <v>74</v>
      </c>
      <c r="O5" s="53" t="s">
        <v>75</v>
      </c>
      <c r="P5" s="54" t="s">
        <v>76</v>
      </c>
      <c r="Q5" s="53" t="s">
        <v>77</v>
      </c>
      <c r="R5" s="55" t="s">
        <v>74</v>
      </c>
      <c r="S5" s="56" t="s">
        <v>75</v>
      </c>
      <c r="T5" s="57" t="s">
        <v>76</v>
      </c>
      <c r="U5" s="56" t="s">
        <v>77</v>
      </c>
      <c r="V5" s="58" t="s">
        <v>74</v>
      </c>
      <c r="W5" s="59" t="s">
        <v>75</v>
      </c>
      <c r="X5" s="60" t="s">
        <v>76</v>
      </c>
      <c r="Y5" s="59" t="s">
        <v>77</v>
      </c>
      <c r="Z5" s="61" t="s">
        <v>74</v>
      </c>
      <c r="AA5" s="62" t="s">
        <v>75</v>
      </c>
      <c r="AB5" s="63" t="s">
        <v>76</v>
      </c>
      <c r="AC5" s="62" t="s">
        <v>77</v>
      </c>
    </row>
    <row r="6" spans="1:28" ht="15.5">
      <c r="A6" s="20">
        <v>68</v>
      </c>
      <c r="B6" s="64" t="s">
        <v>5</v>
      </c>
      <c r="C6" s="64" t="s">
        <v>60</v>
      </c>
      <c r="D6" s="49" t="s">
        <v>78</v>
      </c>
      <c r="E6" s="50">
        <f aca="true" t="shared" si="0" ref="E6:E11">I6</f>
        <v>75710.04901960783</v>
      </c>
      <c r="F6" s="50">
        <v>0</v>
      </c>
      <c r="G6" s="50">
        <f>F6-E6</f>
        <v>-75710.04901960783</v>
      </c>
      <c r="H6" s="65" t="s">
        <v>78</v>
      </c>
      <c r="I6" s="66">
        <f>74975/1.02*1.03</f>
        <v>75710.04901960783</v>
      </c>
      <c r="J6" s="67">
        <v>17307.96</v>
      </c>
      <c r="K6" s="66">
        <f>100391.26-I6-J6-L6</f>
        <v>1581.4322303921645</v>
      </c>
      <c r="L6" s="68">
        <f>0.0765*I6</f>
        <v>5791.818749999999</v>
      </c>
      <c r="M6" s="69">
        <f>I6*1.02</f>
        <v>77224.24999999999</v>
      </c>
      <c r="N6" s="69">
        <f>J6+1038.48</f>
        <v>18346.44</v>
      </c>
      <c r="O6" s="70">
        <f>103085.74-M6-N6-P6</f>
        <v>1607.3948750000227</v>
      </c>
      <c r="P6" s="69">
        <f>M6*0.0765</f>
        <v>5907.655124999998</v>
      </c>
      <c r="Q6" s="71">
        <f>M6*1.02</f>
        <v>78768.73499999999</v>
      </c>
      <c r="R6" s="72">
        <f>J6+2139.26</f>
        <v>19447.22</v>
      </c>
      <c r="S6" s="71">
        <f>105875.64-Q6-R6-T6</f>
        <v>1633.8767725000134</v>
      </c>
      <c r="T6" s="72">
        <f>Q6*0.0765</f>
        <v>6025.808227499999</v>
      </c>
      <c r="U6" s="73">
        <f>Q6*1.02</f>
        <v>80344.10969999999</v>
      </c>
      <c r="V6" s="74">
        <f>J6+3305.82</f>
        <v>20613.78</v>
      </c>
      <c r="W6" s="73">
        <f>108765.1-U6-V6-X6</f>
        <v>1660.8859079500216</v>
      </c>
      <c r="X6" s="74">
        <f>U6*0.0765</f>
        <v>6146.324392049999</v>
      </c>
      <c r="Y6" s="75">
        <f>U6*1.02</f>
        <v>81950.99189399999</v>
      </c>
      <c r="Z6" s="76">
        <f>J6+4543.34</f>
        <v>21851.3</v>
      </c>
      <c r="AA6" s="75">
        <f>111759.98-Y6-Z6-AB6</f>
        <v>1688.4372261090057</v>
      </c>
      <c r="AB6" s="76">
        <f>Y6*0.0765</f>
        <v>6269.250879890999</v>
      </c>
    </row>
    <row r="7" spans="1:28" ht="15.5">
      <c r="A7" s="20">
        <v>68</v>
      </c>
      <c r="B7" s="64" t="s">
        <v>5</v>
      </c>
      <c r="C7" s="64" t="s">
        <v>79</v>
      </c>
      <c r="D7" s="49" t="s">
        <v>80</v>
      </c>
      <c r="E7" s="50">
        <f t="shared" si="0"/>
        <v>78712.19607843139</v>
      </c>
      <c r="F7" s="50">
        <v>0</v>
      </c>
      <c r="G7" s="50">
        <f aca="true" t="shared" si="1" ref="G7:G32">F7-E7</f>
        <v>-78712.19607843139</v>
      </c>
      <c r="H7" s="65" t="s">
        <v>80</v>
      </c>
      <c r="I7" s="66">
        <f>77948/1.02*1.03</f>
        <v>78712.19607843139</v>
      </c>
      <c r="J7" s="67">
        <v>0</v>
      </c>
      <c r="K7" s="66">
        <f>86083.73-I7-J7-L7</f>
        <v>1350.0509215686097</v>
      </c>
      <c r="L7" s="68">
        <f aca="true" t="shared" si="2" ref="L7:L11">0.0765*I7</f>
        <v>6021.483000000001</v>
      </c>
      <c r="M7" s="69">
        <f aca="true" t="shared" si="3" ref="M7:M10">I7*1.02</f>
        <v>80286.44000000002</v>
      </c>
      <c r="N7" s="69">
        <v>0</v>
      </c>
      <c r="O7" s="70">
        <f>87805.41-M7-N7-P7</f>
        <v>1377.0573399999857</v>
      </c>
      <c r="P7" s="69">
        <f aca="true" t="shared" si="4" ref="P7:P11">M7*0.0765</f>
        <v>6141.912660000001</v>
      </c>
      <c r="Q7" s="71">
        <f aca="true" t="shared" si="5" ref="Q7:Q10">M7*1.02</f>
        <v>81892.16880000001</v>
      </c>
      <c r="R7" s="72">
        <v>0</v>
      </c>
      <c r="S7" s="71">
        <f>89561.51-Q7-R7-T7</f>
        <v>1404.5902867999794</v>
      </c>
      <c r="T7" s="72">
        <f aca="true" t="shared" si="6" ref="T7:T11">Q7*0.0765</f>
        <v>6264.750913200001</v>
      </c>
      <c r="U7" s="73">
        <f aca="true" t="shared" si="7" ref="U7:U10">Q7*1.02</f>
        <v>83530.01217600002</v>
      </c>
      <c r="V7" s="74">
        <v>0</v>
      </c>
      <c r="W7" s="73">
        <f>91352.74-U7-V7-X7</f>
        <v>1432.6818925359858</v>
      </c>
      <c r="X7" s="74">
        <f aca="true" t="shared" si="8" ref="X7:X11">U7*0.0765</f>
        <v>6390.045931464001</v>
      </c>
      <c r="Y7" s="75">
        <f aca="true" t="shared" si="9" ref="Y7:Y10">U7*1.02</f>
        <v>85200.61241952002</v>
      </c>
      <c r="Z7" s="76">
        <v>0</v>
      </c>
      <c r="AA7" s="75">
        <f>93179.8-Y7-Z7-AB7</f>
        <v>1461.340730386697</v>
      </c>
      <c r="AB7" s="76">
        <f aca="true" t="shared" si="10" ref="AB7:AB11">Y7*0.0765</f>
        <v>6517.846850093281</v>
      </c>
    </row>
    <row r="8" spans="1:28" ht="15.5">
      <c r="A8" s="20">
        <v>68</v>
      </c>
      <c r="B8" s="64" t="s">
        <v>5</v>
      </c>
      <c r="C8" s="64" t="s">
        <v>81</v>
      </c>
      <c r="D8" s="49" t="s">
        <v>82</v>
      </c>
      <c r="E8" s="50">
        <f t="shared" si="0"/>
        <v>50343</v>
      </c>
      <c r="F8" s="50">
        <v>0</v>
      </c>
      <c r="G8" s="50">
        <f t="shared" si="1"/>
        <v>-50343</v>
      </c>
      <c r="H8" s="65" t="s">
        <v>82</v>
      </c>
      <c r="I8" s="66">
        <v>50343</v>
      </c>
      <c r="J8" s="67">
        <v>8654.16</v>
      </c>
      <c r="K8" s="66">
        <f>63953.98-I8-J8-L8</f>
        <v>1105.5805000000032</v>
      </c>
      <c r="L8" s="68">
        <f t="shared" si="2"/>
        <v>3851.2395</v>
      </c>
      <c r="M8" s="69">
        <f t="shared" si="3"/>
        <v>51349.86</v>
      </c>
      <c r="N8" s="69">
        <f>J8+519.25</f>
        <v>9173.41</v>
      </c>
      <c r="O8" s="70">
        <f>66127.83-M8-N8-P8</f>
        <v>1676.2957100000012</v>
      </c>
      <c r="P8" s="69">
        <f t="shared" si="4"/>
        <v>3928.26429</v>
      </c>
      <c r="Q8" s="71">
        <f t="shared" si="5"/>
        <v>52376.8572</v>
      </c>
      <c r="R8" s="72">
        <f>J8+1069.65</f>
        <v>9723.81</v>
      </c>
      <c r="S8" s="71">
        <f>68382.48-Q8-R8-T8</f>
        <v>2274.983224199998</v>
      </c>
      <c r="T8" s="72">
        <f t="shared" si="6"/>
        <v>4006.8295758</v>
      </c>
      <c r="U8" s="73">
        <f t="shared" si="7"/>
        <v>53424.394344</v>
      </c>
      <c r="V8" s="74">
        <f>J8+1652.94</f>
        <v>10307.1</v>
      </c>
      <c r="W8" s="73">
        <f>70136.02-U8-V8-X8</f>
        <v>2317.5594886840036</v>
      </c>
      <c r="X8" s="74">
        <f t="shared" si="8"/>
        <v>4086.966167316</v>
      </c>
      <c r="Y8" s="75">
        <f t="shared" si="9"/>
        <v>54492.88223088</v>
      </c>
      <c r="Z8" s="76">
        <f>J8+2271.72</f>
        <v>10925.88</v>
      </c>
      <c r="AA8" s="75">
        <f>71948.44-Y8-Z8-AB8</f>
        <v>2360.9722784576825</v>
      </c>
      <c r="AB8" s="76">
        <f t="shared" si="10"/>
        <v>4168.70549066232</v>
      </c>
    </row>
    <row r="9" spans="1:28" ht="15.5">
      <c r="A9" s="20">
        <v>68</v>
      </c>
      <c r="B9" s="64" t="s">
        <v>5</v>
      </c>
      <c r="C9" s="64" t="s">
        <v>83</v>
      </c>
      <c r="D9" s="49" t="s">
        <v>84</v>
      </c>
      <c r="E9" s="50">
        <f t="shared" si="0"/>
        <v>157378</v>
      </c>
      <c r="F9" s="50">
        <v>0</v>
      </c>
      <c r="G9" s="50">
        <f t="shared" si="1"/>
        <v>-157378</v>
      </c>
      <c r="H9" s="65" t="s">
        <v>84</v>
      </c>
      <c r="I9" s="66">
        <v>157378</v>
      </c>
      <c r="J9" s="67">
        <f>J10+(2*J8)</f>
        <v>43270.56</v>
      </c>
      <c r="K9" s="66">
        <f>K21-I9-J9-L9</f>
        <v>3714.713000000005</v>
      </c>
      <c r="L9" s="68">
        <f t="shared" si="2"/>
        <v>12039.417</v>
      </c>
      <c r="M9" s="69">
        <f t="shared" si="3"/>
        <v>160525.56</v>
      </c>
      <c r="N9" s="69">
        <f>N10+(2*N8)</f>
        <v>45866.79</v>
      </c>
      <c r="O9" s="70">
        <f>L21-M9-N9-P9</f>
        <v>5499.364659999985</v>
      </c>
      <c r="P9" s="69">
        <f t="shared" si="4"/>
        <v>12280.20534</v>
      </c>
      <c r="Q9" s="71">
        <f t="shared" si="5"/>
        <v>163736.0712</v>
      </c>
      <c r="R9" s="72">
        <f>R10+(2*R8)</f>
        <v>48618.79</v>
      </c>
      <c r="S9" s="71">
        <f>M21-Q9-R9-T9</f>
        <v>7370.90935320001</v>
      </c>
      <c r="T9" s="72">
        <f t="shared" si="6"/>
        <v>12525.8094468</v>
      </c>
      <c r="U9" s="73">
        <f t="shared" si="7"/>
        <v>167010.792624</v>
      </c>
      <c r="V9" s="74">
        <f>V10+(2*V8)</f>
        <v>51535.23</v>
      </c>
      <c r="W9" s="73">
        <f>N21-U9-V9-X9</f>
        <v>7503.98174026402</v>
      </c>
      <c r="X9" s="74">
        <f t="shared" si="8"/>
        <v>12776.325635735999</v>
      </c>
      <c r="Y9" s="75">
        <f t="shared" si="9"/>
        <v>170351.00847648</v>
      </c>
      <c r="Z9" s="76">
        <f>Z10+(2*Z8)</f>
        <v>54629.09</v>
      </c>
      <c r="AA9" s="75">
        <f>O21-Y9-Z9-AB9</f>
        <v>7639.709375069318</v>
      </c>
      <c r="AB9" s="76">
        <f t="shared" si="10"/>
        <v>13031.85214845072</v>
      </c>
    </row>
    <row r="10" spans="1:28" ht="15.5">
      <c r="A10" s="20">
        <v>68</v>
      </c>
      <c r="B10" s="64" t="s">
        <v>5</v>
      </c>
      <c r="C10" s="64" t="s">
        <v>79</v>
      </c>
      <c r="D10" s="49" t="s">
        <v>85</v>
      </c>
      <c r="E10" s="50">
        <f t="shared" si="0"/>
        <v>78712.19607843139</v>
      </c>
      <c r="F10" s="50">
        <v>0</v>
      </c>
      <c r="G10" s="50">
        <f t="shared" si="1"/>
        <v>-78712.19607843139</v>
      </c>
      <c r="H10" s="65" t="s">
        <v>85</v>
      </c>
      <c r="I10" s="66">
        <f>77948/1.02*1.03</f>
        <v>78712.19607843139</v>
      </c>
      <c r="J10" s="67">
        <v>25962.24</v>
      </c>
      <c r="K10" s="66">
        <f>112470.41-I10-J10-L10</f>
        <v>1774.4909215686157</v>
      </c>
      <c r="L10" s="68">
        <f t="shared" si="2"/>
        <v>6021.483000000001</v>
      </c>
      <c r="M10" s="69">
        <f t="shared" si="3"/>
        <v>80286.44000000002</v>
      </c>
      <c r="N10" s="69">
        <f>J10+1557.73</f>
        <v>27519.97</v>
      </c>
      <c r="O10" s="70">
        <f>115749.82-M10-N10-P10</f>
        <v>1801.497339999988</v>
      </c>
      <c r="P10" s="69">
        <f t="shared" si="4"/>
        <v>6141.912660000001</v>
      </c>
      <c r="Q10" s="71">
        <f t="shared" si="5"/>
        <v>81892.16880000001</v>
      </c>
      <c r="R10" s="72">
        <f>J10+3208.93</f>
        <v>29171.170000000002</v>
      </c>
      <c r="S10" s="71">
        <f>119157.13-Q10-R10-T10</f>
        <v>1829.0402867999874</v>
      </c>
      <c r="T10" s="72">
        <f t="shared" si="6"/>
        <v>6264.750913200001</v>
      </c>
      <c r="U10" s="73">
        <f t="shared" si="7"/>
        <v>83530.01217600002</v>
      </c>
      <c r="V10" s="74">
        <f>J10+4958.79</f>
        <v>30921.030000000002</v>
      </c>
      <c r="W10" s="73">
        <f>122698.21-U10-V10-X10</f>
        <v>1857.1218925359844</v>
      </c>
      <c r="X10" s="74">
        <f t="shared" si="8"/>
        <v>6390.045931464001</v>
      </c>
      <c r="Y10" s="75">
        <f t="shared" si="9"/>
        <v>85200.61241952002</v>
      </c>
      <c r="Z10" s="76">
        <f>J10+6815.09</f>
        <v>32777.33</v>
      </c>
      <c r="AA10" s="75">
        <f>126381.57-Y10-Z10-AB10</f>
        <v>1885.7807303866994</v>
      </c>
      <c r="AB10" s="76">
        <f t="shared" si="10"/>
        <v>6517.846850093281</v>
      </c>
    </row>
    <row r="11" spans="1:28" ht="15.5">
      <c r="A11" s="20">
        <v>68</v>
      </c>
      <c r="B11" s="64" t="s">
        <v>5</v>
      </c>
      <c r="C11" s="64" t="s">
        <v>60</v>
      </c>
      <c r="D11" s="49" t="s">
        <v>86</v>
      </c>
      <c r="E11" s="50">
        <f t="shared" si="0"/>
        <v>75710.06</v>
      </c>
      <c r="F11" s="50">
        <v>0</v>
      </c>
      <c r="G11" s="50">
        <f t="shared" si="1"/>
        <v>-75710.06</v>
      </c>
      <c r="H11" s="65" t="s">
        <v>86</v>
      </c>
      <c r="I11" s="77">
        <v>75710.06</v>
      </c>
      <c r="J11" s="78">
        <f>J6</f>
        <v>17307.96</v>
      </c>
      <c r="K11" s="77">
        <f>K6</f>
        <v>1581.4322303921645</v>
      </c>
      <c r="L11" s="79">
        <f t="shared" si="2"/>
        <v>5791.81959</v>
      </c>
      <c r="M11" s="80">
        <v>77224.26</v>
      </c>
      <c r="N11" s="80">
        <f>N6</f>
        <v>18346.44</v>
      </c>
      <c r="O11" s="70">
        <f>O6</f>
        <v>1607.3948750000227</v>
      </c>
      <c r="P11" s="80">
        <f t="shared" si="4"/>
        <v>5907.655889999999</v>
      </c>
      <c r="Q11" s="81">
        <v>78768.75</v>
      </c>
      <c r="R11" s="82">
        <f>R6</f>
        <v>19447.22</v>
      </c>
      <c r="S11" s="83">
        <f>S6</f>
        <v>1633.8767725000134</v>
      </c>
      <c r="T11" s="82">
        <f t="shared" si="6"/>
        <v>6025.809375</v>
      </c>
      <c r="U11" s="84">
        <v>80344.14</v>
      </c>
      <c r="V11" s="85">
        <f>V6</f>
        <v>20613.78</v>
      </c>
      <c r="W11" s="84">
        <f>W6</f>
        <v>1660.8859079500216</v>
      </c>
      <c r="X11" s="85">
        <f t="shared" si="8"/>
        <v>6146.32671</v>
      </c>
      <c r="Y11" s="86">
        <v>81950.99</v>
      </c>
      <c r="Z11" s="87">
        <f>Z6</f>
        <v>21851.3</v>
      </c>
      <c r="AA11" s="88">
        <f>111759.98-Y11-Z11-AB11</f>
        <v>1688.4392649999909</v>
      </c>
      <c r="AB11" s="87">
        <f t="shared" si="10"/>
        <v>6269.2507350000005</v>
      </c>
    </row>
    <row r="12" spans="1:28" ht="15.5">
      <c r="A12" s="20">
        <v>70</v>
      </c>
      <c r="B12" s="64" t="s">
        <v>5</v>
      </c>
      <c r="C12" s="64">
        <v>52101</v>
      </c>
      <c r="D12" s="49" t="s">
        <v>71</v>
      </c>
      <c r="E12" s="50">
        <v>541773</v>
      </c>
      <c r="F12" s="50">
        <f>E12-$J$12</f>
        <v>429270.12</v>
      </c>
      <c r="G12" s="50">
        <f t="shared" si="1"/>
        <v>-112502.88</v>
      </c>
      <c r="I12" s="89">
        <f>SUM(I6:I11)</f>
        <v>516565.5011764706</v>
      </c>
      <c r="J12" s="89">
        <f>SUM(J6:J11)</f>
        <v>112502.88</v>
      </c>
      <c r="K12" s="89">
        <f aca="true" t="shared" si="11" ref="K12:AB12">SUM(K6:K11)</f>
        <v>11107.699803921565</v>
      </c>
      <c r="L12" s="89">
        <f t="shared" si="11"/>
        <v>39517.26084</v>
      </c>
      <c r="M12" s="89">
        <f t="shared" si="11"/>
        <v>526896.8099999999</v>
      </c>
      <c r="N12" s="89">
        <f t="shared" si="11"/>
        <v>119253.05</v>
      </c>
      <c r="O12" s="89">
        <f t="shared" si="11"/>
        <v>13569.004800000006</v>
      </c>
      <c r="P12" s="89">
        <f t="shared" si="11"/>
        <v>40307.605965</v>
      </c>
      <c r="Q12" s="89">
        <f t="shared" si="11"/>
        <v>537434.751</v>
      </c>
      <c r="R12" s="89">
        <f t="shared" si="11"/>
        <v>126408.21</v>
      </c>
      <c r="S12" s="89">
        <f t="shared" si="11"/>
        <v>16147.276696</v>
      </c>
      <c r="T12" s="89">
        <f t="shared" si="11"/>
        <v>41113.7584515</v>
      </c>
      <c r="U12" s="89">
        <f t="shared" si="11"/>
        <v>548183.46102</v>
      </c>
      <c r="V12" s="89">
        <f t="shared" si="11"/>
        <v>133990.91999999998</v>
      </c>
      <c r="W12" s="89">
        <f t="shared" si="11"/>
        <v>16433.116829920036</v>
      </c>
      <c r="X12" s="89">
        <f t="shared" si="11"/>
        <v>41936.034768030004</v>
      </c>
      <c r="Y12" s="89">
        <f t="shared" si="11"/>
        <v>559147.0974404</v>
      </c>
      <c r="Z12" s="89">
        <f t="shared" si="11"/>
        <v>142034.9</v>
      </c>
      <c r="AA12" s="89">
        <f t="shared" si="11"/>
        <v>16724.679605409394</v>
      </c>
      <c r="AB12" s="89">
        <f t="shared" si="11"/>
        <v>42774.752954190604</v>
      </c>
    </row>
    <row r="13" spans="1:15" ht="15.5">
      <c r="A13" s="20">
        <v>70</v>
      </c>
      <c r="B13" s="64" t="s">
        <v>5</v>
      </c>
      <c r="C13" s="64">
        <v>52111</v>
      </c>
      <c r="D13" s="49" t="s">
        <v>87</v>
      </c>
      <c r="E13" s="50">
        <v>71056</v>
      </c>
      <c r="F13" s="50">
        <f>E13-$K$12</f>
        <v>59948.30019607843</v>
      </c>
      <c r="G13" s="50">
        <f t="shared" si="1"/>
        <v>-11107.699803921569</v>
      </c>
      <c r="K13">
        <v>66272.15</v>
      </c>
      <c r="L13">
        <v>68515.73</v>
      </c>
      <c r="M13">
        <v>70842.02</v>
      </c>
      <c r="N13">
        <v>72644.75</v>
      </c>
      <c r="O13">
        <v>74507.35</v>
      </c>
    </row>
    <row r="14" spans="1:15" ht="15.5">
      <c r="A14" s="20">
        <v>70</v>
      </c>
      <c r="B14" s="64" t="s">
        <v>5</v>
      </c>
      <c r="C14" s="40">
        <v>52201</v>
      </c>
      <c r="D14" s="36" t="s">
        <v>51</v>
      </c>
      <c r="E14" s="23">
        <v>281500</v>
      </c>
      <c r="F14" s="23">
        <f>E14-$L$12</f>
        <v>241982.73916</v>
      </c>
      <c r="G14" s="50">
        <f t="shared" si="1"/>
        <v>-39517.26084</v>
      </c>
      <c r="K14">
        <v>66272.15</v>
      </c>
      <c r="L14">
        <v>68515.73</v>
      </c>
      <c r="M14">
        <v>70842.02</v>
      </c>
      <c r="N14">
        <v>72644.75</v>
      </c>
      <c r="O14">
        <v>74507.35</v>
      </c>
    </row>
    <row r="15" spans="1:7" ht="15.5">
      <c r="A15" s="20">
        <v>70</v>
      </c>
      <c r="B15" s="64" t="s">
        <v>5</v>
      </c>
      <c r="C15" s="40">
        <v>51401</v>
      </c>
      <c r="D15" s="36" t="s">
        <v>112</v>
      </c>
      <c r="E15" s="23">
        <v>17654</v>
      </c>
      <c r="F15" s="23">
        <v>0</v>
      </c>
      <c r="G15" s="50">
        <f t="shared" si="1"/>
        <v>-17654</v>
      </c>
    </row>
    <row r="16" spans="1:7" ht="15.5">
      <c r="A16" s="20">
        <v>70</v>
      </c>
      <c r="B16" s="64" t="s">
        <v>5</v>
      </c>
      <c r="C16" s="40">
        <v>53509</v>
      </c>
      <c r="D16" s="36" t="s">
        <v>113</v>
      </c>
      <c r="E16" s="23">
        <v>36705</v>
      </c>
      <c r="F16" s="23">
        <f>E16-16000</f>
        <v>20705</v>
      </c>
      <c r="G16" s="50">
        <f t="shared" si="1"/>
        <v>-16000</v>
      </c>
    </row>
    <row r="17" spans="1:7" ht="15.5">
      <c r="A17" s="20">
        <v>70</v>
      </c>
      <c r="B17" s="64" t="s">
        <v>5</v>
      </c>
      <c r="C17" s="40">
        <v>53701</v>
      </c>
      <c r="D17" s="36" t="s">
        <v>114</v>
      </c>
      <c r="E17" s="23">
        <v>10000</v>
      </c>
      <c r="F17" s="23">
        <v>0</v>
      </c>
      <c r="G17" s="50">
        <f t="shared" si="1"/>
        <v>-10000</v>
      </c>
    </row>
    <row r="18" spans="1:7" ht="15.5">
      <c r="A18" s="20">
        <v>70</v>
      </c>
      <c r="B18" s="64" t="s">
        <v>5</v>
      </c>
      <c r="C18" s="40">
        <v>56101</v>
      </c>
      <c r="D18" s="36" t="s">
        <v>55</v>
      </c>
      <c r="E18" s="23">
        <v>75000</v>
      </c>
      <c r="F18" s="23">
        <f>E18-60000</f>
        <v>15000</v>
      </c>
      <c r="G18" s="50">
        <f t="shared" si="1"/>
        <v>-60000</v>
      </c>
    </row>
    <row r="19" spans="1:7" ht="15.5">
      <c r="A19" s="174"/>
      <c r="B19" s="175"/>
      <c r="C19" s="176"/>
      <c r="D19" s="99" t="s">
        <v>89</v>
      </c>
      <c r="E19" s="177"/>
      <c r="F19" s="178"/>
      <c r="G19" s="179"/>
    </row>
    <row r="20" spans="1:15" ht="15.5">
      <c r="A20" s="20">
        <v>88</v>
      </c>
      <c r="B20" s="64" t="s">
        <v>2</v>
      </c>
      <c r="C20" s="64" t="s">
        <v>60</v>
      </c>
      <c r="D20" s="49" t="s">
        <v>78</v>
      </c>
      <c r="E20" s="23">
        <v>0</v>
      </c>
      <c r="F20" s="23">
        <f aca="true" t="shared" si="12" ref="F20:F25">E6</f>
        <v>75710.04901960783</v>
      </c>
      <c r="G20" s="50">
        <f t="shared" si="1"/>
        <v>75710.04901960783</v>
      </c>
      <c r="K20">
        <v>83858.39</v>
      </c>
      <c r="L20">
        <v>87140.46</v>
      </c>
      <c r="M20">
        <v>90567.54</v>
      </c>
      <c r="N20">
        <v>93536.83</v>
      </c>
      <c r="O20">
        <v>96636.96</v>
      </c>
    </row>
    <row r="21" spans="1:15" ht="15.5">
      <c r="A21" s="20">
        <v>88</v>
      </c>
      <c r="B21" s="64" t="s">
        <v>2</v>
      </c>
      <c r="C21" s="64" t="s">
        <v>79</v>
      </c>
      <c r="D21" s="49" t="s">
        <v>80</v>
      </c>
      <c r="E21" s="23">
        <v>0</v>
      </c>
      <c r="F21" s="23">
        <f t="shared" si="12"/>
        <v>78712.19607843139</v>
      </c>
      <c r="G21" s="50">
        <f t="shared" si="1"/>
        <v>78712.19607843139</v>
      </c>
      <c r="K21">
        <f>SUM(K13:K20)</f>
        <v>216402.69</v>
      </c>
      <c r="L21">
        <f aca="true" t="shared" si="13" ref="L21:O21">SUM(L13:L20)</f>
        <v>224171.91999999998</v>
      </c>
      <c r="M21">
        <f t="shared" si="13"/>
        <v>232251.58000000002</v>
      </c>
      <c r="N21">
        <f t="shared" si="13"/>
        <v>238826.33000000002</v>
      </c>
      <c r="O21">
        <f t="shared" si="13"/>
        <v>245651.66000000003</v>
      </c>
    </row>
    <row r="22" spans="1:7" ht="15.5">
      <c r="A22" s="20">
        <v>88</v>
      </c>
      <c r="B22" s="64" t="s">
        <v>2</v>
      </c>
      <c r="C22" s="64" t="s">
        <v>81</v>
      </c>
      <c r="D22" s="49" t="s">
        <v>82</v>
      </c>
      <c r="E22" s="23">
        <v>0</v>
      </c>
      <c r="F22" s="23">
        <f t="shared" si="12"/>
        <v>50343</v>
      </c>
      <c r="G22" s="50">
        <f t="shared" si="1"/>
        <v>50343</v>
      </c>
    </row>
    <row r="23" spans="1:7" ht="15.5">
      <c r="A23" s="20">
        <v>88</v>
      </c>
      <c r="B23" s="64" t="s">
        <v>2</v>
      </c>
      <c r="C23" s="64" t="s">
        <v>83</v>
      </c>
      <c r="D23" s="49" t="s">
        <v>84</v>
      </c>
      <c r="E23" s="23">
        <v>0</v>
      </c>
      <c r="F23" s="23">
        <f t="shared" si="12"/>
        <v>157378</v>
      </c>
      <c r="G23" s="50">
        <f t="shared" si="1"/>
        <v>157378</v>
      </c>
    </row>
    <row r="24" spans="1:7" ht="15.5">
      <c r="A24" s="20">
        <v>88</v>
      </c>
      <c r="B24" s="64" t="s">
        <v>2</v>
      </c>
      <c r="C24" s="64" t="s">
        <v>79</v>
      </c>
      <c r="D24" s="49" t="s">
        <v>85</v>
      </c>
      <c r="E24" s="23">
        <v>0</v>
      </c>
      <c r="F24" s="23">
        <f t="shared" si="12"/>
        <v>78712.19607843139</v>
      </c>
      <c r="G24" s="50">
        <f t="shared" si="1"/>
        <v>78712.19607843139</v>
      </c>
    </row>
    <row r="25" spans="1:7" ht="15.5">
      <c r="A25" s="20">
        <v>88</v>
      </c>
      <c r="B25" s="64" t="s">
        <v>2</v>
      </c>
      <c r="C25" s="64" t="s">
        <v>60</v>
      </c>
      <c r="D25" s="49" t="s">
        <v>86</v>
      </c>
      <c r="E25" s="23">
        <v>0</v>
      </c>
      <c r="F25" s="23">
        <f t="shared" si="12"/>
        <v>75710.06</v>
      </c>
      <c r="G25" s="50">
        <f t="shared" si="1"/>
        <v>75710.06</v>
      </c>
    </row>
    <row r="26" spans="1:7" ht="15.5">
      <c r="A26" s="20">
        <v>89</v>
      </c>
      <c r="B26" s="64" t="s">
        <v>2</v>
      </c>
      <c r="C26" s="64">
        <v>52101</v>
      </c>
      <c r="D26" s="49" t="s">
        <v>71</v>
      </c>
      <c r="E26" s="23">
        <v>540302</v>
      </c>
      <c r="F26" s="50">
        <f>E26+$J$12</f>
        <v>652804.88</v>
      </c>
      <c r="G26" s="50">
        <f t="shared" si="1"/>
        <v>112502.88</v>
      </c>
    </row>
    <row r="27" spans="1:7" ht="15.5">
      <c r="A27" s="20">
        <v>89</v>
      </c>
      <c r="B27" s="64" t="s">
        <v>2</v>
      </c>
      <c r="C27" s="64">
        <v>52111</v>
      </c>
      <c r="D27" s="49" t="s">
        <v>87</v>
      </c>
      <c r="E27" s="23">
        <v>83569</v>
      </c>
      <c r="F27" s="50">
        <f>E27+$K$12</f>
        <v>94676.69980392157</v>
      </c>
      <c r="G27" s="50">
        <f t="shared" si="1"/>
        <v>11107.699803921569</v>
      </c>
    </row>
    <row r="28" spans="1:7" ht="15.5">
      <c r="A28" s="20">
        <v>89</v>
      </c>
      <c r="B28" s="64" t="s">
        <v>2</v>
      </c>
      <c r="C28" s="40">
        <v>52201</v>
      </c>
      <c r="D28" s="36" t="s">
        <v>51</v>
      </c>
      <c r="E28" s="23">
        <v>351495</v>
      </c>
      <c r="F28" s="23">
        <f>E28+$L$12</f>
        <v>391012.26084</v>
      </c>
      <c r="G28" s="50">
        <f t="shared" si="1"/>
        <v>39517.26084</v>
      </c>
    </row>
    <row r="29" spans="1:7" ht="15.5">
      <c r="A29" s="20">
        <v>89</v>
      </c>
      <c r="B29" s="64" t="s">
        <v>2</v>
      </c>
      <c r="C29" s="40">
        <v>51401</v>
      </c>
      <c r="D29" s="36" t="s">
        <v>112</v>
      </c>
      <c r="E29" s="23">
        <v>21447</v>
      </c>
      <c r="F29" s="23">
        <f>E29+E15</f>
        <v>39101</v>
      </c>
      <c r="G29" s="50">
        <f t="shared" si="1"/>
        <v>17654</v>
      </c>
    </row>
    <row r="30" spans="1:7" ht="15.5">
      <c r="A30" s="20">
        <v>89</v>
      </c>
      <c r="B30" s="64" t="s">
        <v>2</v>
      </c>
      <c r="C30" s="40">
        <v>53509</v>
      </c>
      <c r="D30" s="36" t="s">
        <v>113</v>
      </c>
      <c r="E30" s="23">
        <v>8244150</v>
      </c>
      <c r="F30" s="50">
        <f>E30+16000</f>
        <v>8260150</v>
      </c>
      <c r="G30" s="50">
        <f t="shared" si="1"/>
        <v>16000</v>
      </c>
    </row>
    <row r="31" spans="1:7" ht="15.5">
      <c r="A31" s="20">
        <v>89</v>
      </c>
      <c r="B31" s="64" t="s">
        <v>2</v>
      </c>
      <c r="C31" s="40">
        <v>53701</v>
      </c>
      <c r="D31" s="36" t="s">
        <v>114</v>
      </c>
      <c r="E31" s="23">
        <v>0</v>
      </c>
      <c r="F31" s="50">
        <v>10000</v>
      </c>
      <c r="G31" s="50">
        <f t="shared" si="1"/>
        <v>10000</v>
      </c>
    </row>
    <row r="32" spans="1:7" ht="15.5">
      <c r="A32" s="20">
        <v>89</v>
      </c>
      <c r="B32" s="64" t="s">
        <v>2</v>
      </c>
      <c r="C32" s="40">
        <v>56101</v>
      </c>
      <c r="D32" s="36" t="s">
        <v>55</v>
      </c>
      <c r="E32" s="23">
        <v>20000</v>
      </c>
      <c r="F32" s="50">
        <f>E32+60000</f>
        <v>80000</v>
      </c>
      <c r="G32" s="50">
        <f t="shared" si="1"/>
        <v>60000</v>
      </c>
    </row>
    <row r="33" spans="1:7" ht="15.5">
      <c r="A33" s="15"/>
      <c r="B33" s="15"/>
      <c r="C33" s="15"/>
      <c r="D33" s="15"/>
      <c r="E33" s="17"/>
      <c r="F33" s="27" t="s">
        <v>17</v>
      </c>
      <c r="G33" s="27">
        <f>SUM(G6:G32)</f>
        <v>-5.820766091346741E-11</v>
      </c>
    </row>
    <row r="34" spans="1:7" ht="15">
      <c r="A34" s="16"/>
      <c r="B34" s="16"/>
      <c r="C34" s="16"/>
      <c r="D34" s="16"/>
      <c r="E34" s="16"/>
      <c r="F34" s="16"/>
      <c r="G34" s="16"/>
    </row>
    <row r="35" spans="1:7" ht="15">
      <c r="A35" s="16"/>
      <c r="B35" s="16"/>
      <c r="C35" s="16"/>
      <c r="D35" s="16"/>
      <c r="E35" s="16"/>
      <c r="F35" s="16"/>
      <c r="G35" s="16"/>
    </row>
    <row r="36" spans="1:7" ht="15.5">
      <c r="A36" s="13" t="s">
        <v>1</v>
      </c>
      <c r="B36" s="14"/>
      <c r="C36" s="15"/>
      <c r="D36" s="16"/>
      <c r="E36" s="17"/>
      <c r="F36" s="15"/>
      <c r="G36" s="15"/>
    </row>
    <row r="37" spans="1:7" ht="15">
      <c r="A37" s="13" t="s">
        <v>4</v>
      </c>
      <c r="B37" s="18" t="s">
        <v>19</v>
      </c>
      <c r="C37" s="18" t="s">
        <v>20</v>
      </c>
      <c r="D37" s="18" t="s">
        <v>21</v>
      </c>
      <c r="E37" s="19" t="s">
        <v>9</v>
      </c>
      <c r="F37" s="13" t="s">
        <v>10</v>
      </c>
      <c r="G37" s="13" t="s">
        <v>22</v>
      </c>
    </row>
    <row r="38" spans="1:7" ht="15.5">
      <c r="A38" s="20">
        <v>71</v>
      </c>
      <c r="B38" s="20">
        <v>2024</v>
      </c>
      <c r="C38" s="20" t="s">
        <v>88</v>
      </c>
      <c r="D38" s="44" t="s">
        <v>64</v>
      </c>
      <c r="E38" s="23">
        <v>3608901</v>
      </c>
      <c r="F38" s="23">
        <f>E38-$M$12-E15</f>
        <v>3064350.19</v>
      </c>
      <c r="G38" s="23">
        <f>F38-E38</f>
        <v>-544550.81</v>
      </c>
    </row>
    <row r="39" spans="1:7" ht="15.5">
      <c r="A39" s="20">
        <v>71</v>
      </c>
      <c r="B39" s="20">
        <v>2024</v>
      </c>
      <c r="C39" s="20" t="s">
        <v>88</v>
      </c>
      <c r="D39" s="21" t="s">
        <v>65</v>
      </c>
      <c r="E39" s="23">
        <v>1018975</v>
      </c>
      <c r="F39" s="23">
        <f>E39-($N$12+$O$12+$P$12)</f>
        <v>845845.339235</v>
      </c>
      <c r="G39" s="23">
        <f aca="true" t="shared" si="14" ref="G39:G69">F39-E39</f>
        <v>-173129.66076500004</v>
      </c>
    </row>
    <row r="40" spans="1:7" ht="15.5">
      <c r="A40" s="20">
        <v>71</v>
      </c>
      <c r="B40" s="20">
        <v>2024</v>
      </c>
      <c r="C40" s="20" t="s">
        <v>88</v>
      </c>
      <c r="D40" s="21" t="s">
        <v>56</v>
      </c>
      <c r="E40" s="23">
        <v>302640</v>
      </c>
      <c r="F40" s="23">
        <f>E40-26000</f>
        <v>276640</v>
      </c>
      <c r="G40" s="23">
        <f t="shared" si="14"/>
        <v>-26000</v>
      </c>
    </row>
    <row r="41" spans="1:7" ht="15.5">
      <c r="A41" s="20">
        <v>71</v>
      </c>
      <c r="B41" s="20">
        <v>2024</v>
      </c>
      <c r="C41" s="20" t="s">
        <v>88</v>
      </c>
      <c r="D41" s="21" t="s">
        <v>57</v>
      </c>
      <c r="E41" s="23">
        <v>101500</v>
      </c>
      <c r="F41" s="23">
        <f>E41-60000</f>
        <v>41500</v>
      </c>
      <c r="G41" s="23">
        <f t="shared" si="14"/>
        <v>-60000</v>
      </c>
    </row>
    <row r="42" spans="1:7" ht="15.5">
      <c r="A42" s="20">
        <v>71</v>
      </c>
      <c r="B42" s="20">
        <v>2025</v>
      </c>
      <c r="C42" s="20" t="s">
        <v>88</v>
      </c>
      <c r="D42" s="44" t="s">
        <v>64</v>
      </c>
      <c r="E42" s="23">
        <v>3685591</v>
      </c>
      <c r="F42" s="23">
        <f>E42-$Q$12-E15</f>
        <v>3130502.249</v>
      </c>
      <c r="G42" s="23">
        <f t="shared" si="14"/>
        <v>-555088.7510000002</v>
      </c>
    </row>
    <row r="43" spans="1:7" ht="15.5">
      <c r="A43" s="20">
        <v>71</v>
      </c>
      <c r="B43" s="20">
        <v>2025</v>
      </c>
      <c r="C43" s="20" t="s">
        <v>88</v>
      </c>
      <c r="D43" s="21" t="s">
        <v>65</v>
      </c>
      <c r="E43" s="23">
        <v>1057471</v>
      </c>
      <c r="F43" s="23">
        <f>E43-($R$12+$S$12+$T$12)</f>
        <v>873801.7548525</v>
      </c>
      <c r="G43" s="23">
        <f t="shared" si="14"/>
        <v>-183669.24514749995</v>
      </c>
    </row>
    <row r="44" spans="1:7" ht="15.5">
      <c r="A44" s="20">
        <v>71</v>
      </c>
      <c r="B44" s="20">
        <v>2025</v>
      </c>
      <c r="C44" s="20" t="s">
        <v>88</v>
      </c>
      <c r="D44" s="21" t="s">
        <v>56</v>
      </c>
      <c r="E44" s="23">
        <v>278243</v>
      </c>
      <c r="F44" s="23">
        <f>E44-26000</f>
        <v>252243</v>
      </c>
      <c r="G44" s="23">
        <f t="shared" si="14"/>
        <v>-26000</v>
      </c>
    </row>
    <row r="45" spans="1:7" ht="15.5">
      <c r="A45" s="20">
        <v>71</v>
      </c>
      <c r="B45" s="20">
        <v>2025</v>
      </c>
      <c r="C45" s="20" t="s">
        <v>88</v>
      </c>
      <c r="D45" s="21" t="s">
        <v>57</v>
      </c>
      <c r="E45" s="23">
        <v>101500</v>
      </c>
      <c r="F45" s="23">
        <f>E45-60000</f>
        <v>41500</v>
      </c>
      <c r="G45" s="23">
        <f t="shared" si="14"/>
        <v>-60000</v>
      </c>
    </row>
    <row r="46" spans="1:7" ht="15.5">
      <c r="A46" s="20">
        <v>71</v>
      </c>
      <c r="B46" s="20">
        <v>2026</v>
      </c>
      <c r="C46" s="20" t="s">
        <v>88</v>
      </c>
      <c r="D46" s="44" t="s">
        <v>64</v>
      </c>
      <c r="E46" s="23">
        <v>3758389</v>
      </c>
      <c r="F46" s="23">
        <f>E46-$U$12-E15</f>
        <v>3192551.5389799997</v>
      </c>
      <c r="G46" s="23">
        <f t="shared" si="14"/>
        <v>-565837.4610200003</v>
      </c>
    </row>
    <row r="47" spans="1:7" ht="15.5">
      <c r="A47" s="20">
        <v>71</v>
      </c>
      <c r="B47" s="20">
        <v>2026</v>
      </c>
      <c r="C47" s="20" t="s">
        <v>88</v>
      </c>
      <c r="D47" s="21" t="s">
        <v>65</v>
      </c>
      <c r="E47" s="23">
        <v>1057471</v>
      </c>
      <c r="F47" s="23">
        <f>E47-($V$12+$W$12+$X$12)</f>
        <v>865110.9284020499</v>
      </c>
      <c r="G47" s="23">
        <f t="shared" si="14"/>
        <v>-192360.07159795007</v>
      </c>
    </row>
    <row r="48" spans="1:7" ht="15.5">
      <c r="A48" s="20">
        <v>71</v>
      </c>
      <c r="B48" s="20">
        <v>2026</v>
      </c>
      <c r="C48" s="20" t="s">
        <v>88</v>
      </c>
      <c r="D48" s="21" t="s">
        <v>56</v>
      </c>
      <c r="E48" s="23">
        <v>278243</v>
      </c>
      <c r="F48" s="23">
        <f>E48-26000</f>
        <v>252243</v>
      </c>
      <c r="G48" s="23">
        <f t="shared" si="14"/>
        <v>-26000</v>
      </c>
    </row>
    <row r="49" spans="1:7" ht="15.5">
      <c r="A49" s="20">
        <v>71</v>
      </c>
      <c r="B49" s="20">
        <v>2026</v>
      </c>
      <c r="C49" s="20" t="s">
        <v>88</v>
      </c>
      <c r="D49" s="21" t="s">
        <v>57</v>
      </c>
      <c r="E49" s="23">
        <v>101500</v>
      </c>
      <c r="F49" s="23">
        <f>E49-60000</f>
        <v>41500</v>
      </c>
      <c r="G49" s="23">
        <f t="shared" si="14"/>
        <v>-60000</v>
      </c>
    </row>
    <row r="50" spans="1:7" ht="15.5">
      <c r="A50" s="20">
        <v>71</v>
      </c>
      <c r="B50" s="20">
        <v>2027</v>
      </c>
      <c r="C50" s="20" t="s">
        <v>88</v>
      </c>
      <c r="D50" s="90" t="s">
        <v>64</v>
      </c>
      <c r="E50" s="23">
        <v>3832644</v>
      </c>
      <c r="F50" s="23">
        <f>E50-$Y$12-E15</f>
        <v>3255842.9025596</v>
      </c>
      <c r="G50" s="23">
        <f t="shared" si="14"/>
        <v>-576801.0974404002</v>
      </c>
    </row>
    <row r="51" spans="1:7" ht="15.5">
      <c r="A51" s="20">
        <v>71</v>
      </c>
      <c r="B51" s="20">
        <v>2027</v>
      </c>
      <c r="C51" s="20" t="s">
        <v>88</v>
      </c>
      <c r="D51" s="36" t="s">
        <v>65</v>
      </c>
      <c r="E51" s="23">
        <v>1146711</v>
      </c>
      <c r="F51" s="23">
        <f>E51-($Z$12+$AA$12+$AB$12)</f>
        <v>945176.6674404</v>
      </c>
      <c r="G51" s="23">
        <f t="shared" si="14"/>
        <v>-201534.3325596</v>
      </c>
    </row>
    <row r="52" spans="1:7" ht="15.5">
      <c r="A52" s="20">
        <v>71</v>
      </c>
      <c r="B52" s="20">
        <v>2027</v>
      </c>
      <c r="C52" s="20" t="s">
        <v>88</v>
      </c>
      <c r="D52" s="21" t="s">
        <v>56</v>
      </c>
      <c r="E52" s="23">
        <v>278243</v>
      </c>
      <c r="F52" s="23">
        <f>E52-26000</f>
        <v>252243</v>
      </c>
      <c r="G52" s="23">
        <f t="shared" si="14"/>
        <v>-26000</v>
      </c>
    </row>
    <row r="53" spans="1:7" ht="15.5">
      <c r="A53" s="20">
        <v>71</v>
      </c>
      <c r="B53" s="20">
        <v>2027</v>
      </c>
      <c r="C53" s="20" t="s">
        <v>88</v>
      </c>
      <c r="D53" s="21" t="s">
        <v>57</v>
      </c>
      <c r="E53" s="23">
        <v>101500</v>
      </c>
      <c r="F53" s="23">
        <f>E53-60000</f>
        <v>41500</v>
      </c>
      <c r="G53" s="23">
        <f t="shared" si="14"/>
        <v>-60000</v>
      </c>
    </row>
    <row r="54" spans="1:7" ht="15.5">
      <c r="A54" s="20">
        <v>90</v>
      </c>
      <c r="B54" s="20">
        <v>2024</v>
      </c>
      <c r="C54" s="20" t="s">
        <v>89</v>
      </c>
      <c r="D54" s="90" t="s">
        <v>64</v>
      </c>
      <c r="E54" s="23">
        <v>4109119</v>
      </c>
      <c r="F54" s="23">
        <f>E54+$M$12+17654</f>
        <v>4653669.81</v>
      </c>
      <c r="G54" s="23">
        <f t="shared" si="14"/>
        <v>544550.8099999996</v>
      </c>
    </row>
    <row r="55" spans="1:7" ht="15.5">
      <c r="A55" s="20">
        <v>90</v>
      </c>
      <c r="B55" s="20">
        <v>2024</v>
      </c>
      <c r="C55" s="20" t="s">
        <v>89</v>
      </c>
      <c r="D55" s="36" t="s">
        <v>65</v>
      </c>
      <c r="E55" s="23">
        <v>1161708</v>
      </c>
      <c r="F55" s="23">
        <f>E55+($N$12+$O$12+$P$12)</f>
        <v>1334837.660765</v>
      </c>
      <c r="G55" s="23">
        <f t="shared" si="14"/>
        <v>173129.66076499992</v>
      </c>
    </row>
    <row r="56" spans="1:7" ht="15.5">
      <c r="A56" s="20">
        <v>90</v>
      </c>
      <c r="B56" s="20">
        <v>2024</v>
      </c>
      <c r="C56" s="20" t="s">
        <v>89</v>
      </c>
      <c r="D56" s="21" t="s">
        <v>56</v>
      </c>
      <c r="E56" s="23">
        <v>8804521</v>
      </c>
      <c r="F56" s="23">
        <f>E56+26000</f>
        <v>8830521</v>
      </c>
      <c r="G56" s="23">
        <f t="shared" si="14"/>
        <v>26000</v>
      </c>
    </row>
    <row r="57" spans="1:7" ht="15.5">
      <c r="A57" s="20">
        <v>90</v>
      </c>
      <c r="B57" s="20">
        <v>2024</v>
      </c>
      <c r="C57" s="20" t="s">
        <v>89</v>
      </c>
      <c r="D57" s="21" t="s">
        <v>57</v>
      </c>
      <c r="E57" s="23">
        <v>84500</v>
      </c>
      <c r="F57" s="23">
        <f>E57+60000</f>
        <v>144500</v>
      </c>
      <c r="G57" s="23">
        <f t="shared" si="14"/>
        <v>60000</v>
      </c>
    </row>
    <row r="58" spans="1:7" ht="15.5">
      <c r="A58" s="20">
        <v>90</v>
      </c>
      <c r="B58" s="20">
        <v>2025</v>
      </c>
      <c r="C58" s="20" t="s">
        <v>89</v>
      </c>
      <c r="D58" s="90" t="s">
        <v>64</v>
      </c>
      <c r="E58" s="23">
        <v>4195535</v>
      </c>
      <c r="F58" s="23">
        <f>E58+$Q$12+17654</f>
        <v>4750623.751</v>
      </c>
      <c r="G58" s="23">
        <f t="shared" si="14"/>
        <v>555088.7510000002</v>
      </c>
    </row>
    <row r="59" spans="1:7" ht="15.5">
      <c r="A59" s="20">
        <v>90</v>
      </c>
      <c r="B59" s="20">
        <v>2025</v>
      </c>
      <c r="C59" s="20" t="s">
        <v>89</v>
      </c>
      <c r="D59" s="36" t="s">
        <v>65</v>
      </c>
      <c r="E59" s="23">
        <v>1205195</v>
      </c>
      <c r="F59" s="23">
        <f>E59+($R$12+$S$12+$T$12)</f>
        <v>1388864.2451475</v>
      </c>
      <c r="G59" s="23">
        <f t="shared" si="14"/>
        <v>183669.24514749995</v>
      </c>
    </row>
    <row r="60" spans="1:7" ht="15.5">
      <c r="A60" s="20">
        <v>90</v>
      </c>
      <c r="B60" s="20">
        <v>2025</v>
      </c>
      <c r="C60" s="20" t="s">
        <v>89</v>
      </c>
      <c r="D60" s="21" t="s">
        <v>56</v>
      </c>
      <c r="E60" s="23">
        <v>8791441</v>
      </c>
      <c r="F60" s="23">
        <f>E60+26000</f>
        <v>8817441</v>
      </c>
      <c r="G60" s="23">
        <f t="shared" si="14"/>
        <v>26000</v>
      </c>
    </row>
    <row r="61" spans="1:7" ht="15.5">
      <c r="A61" s="20">
        <v>90</v>
      </c>
      <c r="B61" s="20">
        <v>2025</v>
      </c>
      <c r="C61" s="20" t="s">
        <v>89</v>
      </c>
      <c r="D61" s="21" t="s">
        <v>57</v>
      </c>
      <c r="E61" s="23">
        <v>84500</v>
      </c>
      <c r="F61" s="23">
        <f>E61+60000</f>
        <v>144500</v>
      </c>
      <c r="G61" s="23">
        <f t="shared" si="14"/>
        <v>60000</v>
      </c>
    </row>
    <row r="62" spans="1:7" ht="15.5">
      <c r="A62" s="20">
        <v>90</v>
      </c>
      <c r="B62" s="20">
        <v>2026</v>
      </c>
      <c r="C62" s="20" t="s">
        <v>89</v>
      </c>
      <c r="D62" s="90" t="s">
        <v>64</v>
      </c>
      <c r="E62" s="23">
        <v>4277575</v>
      </c>
      <c r="F62" s="23">
        <f>E62+$U$12+17654</f>
        <v>4843412.46102</v>
      </c>
      <c r="G62" s="23">
        <f t="shared" si="14"/>
        <v>565837.4610200003</v>
      </c>
    </row>
    <row r="63" spans="1:7" ht="15.5">
      <c r="A63" s="20">
        <v>90</v>
      </c>
      <c r="B63" s="20">
        <v>2026</v>
      </c>
      <c r="C63" s="20" t="s">
        <v>89</v>
      </c>
      <c r="D63" s="36" t="s">
        <v>65</v>
      </c>
      <c r="E63" s="23">
        <v>1250339</v>
      </c>
      <c r="F63" s="23">
        <f>E63+($V$12+$W$12+$X$12)</f>
        <v>1442699.07159795</v>
      </c>
      <c r="G63" s="23">
        <f t="shared" si="14"/>
        <v>192360.07159795007</v>
      </c>
    </row>
    <row r="64" spans="1:7" ht="15.5">
      <c r="A64" s="20">
        <v>90</v>
      </c>
      <c r="B64" s="20">
        <v>2026</v>
      </c>
      <c r="C64" s="20" t="s">
        <v>89</v>
      </c>
      <c r="D64" s="21" t="s">
        <v>56</v>
      </c>
      <c r="E64" s="23">
        <v>8815678</v>
      </c>
      <c r="F64" s="23">
        <f>E64+26000</f>
        <v>8841678</v>
      </c>
      <c r="G64" s="23">
        <f t="shared" si="14"/>
        <v>26000</v>
      </c>
    </row>
    <row r="65" spans="1:7" ht="15.5">
      <c r="A65" s="20">
        <v>90</v>
      </c>
      <c r="B65" s="20">
        <v>2026</v>
      </c>
      <c r="C65" s="20" t="s">
        <v>89</v>
      </c>
      <c r="D65" s="21" t="s">
        <v>57</v>
      </c>
      <c r="E65" s="23">
        <v>84500</v>
      </c>
      <c r="F65" s="23">
        <f>E65+60000</f>
        <v>144500</v>
      </c>
      <c r="G65" s="23">
        <f t="shared" si="14"/>
        <v>60000</v>
      </c>
    </row>
    <row r="66" spans="1:7" ht="15.5">
      <c r="A66" s="20">
        <v>90</v>
      </c>
      <c r="B66" s="20">
        <v>2027</v>
      </c>
      <c r="C66" s="20" t="s">
        <v>89</v>
      </c>
      <c r="D66" s="90" t="s">
        <v>64</v>
      </c>
      <c r="E66" s="23">
        <v>4361257</v>
      </c>
      <c r="F66" s="23">
        <f>E66+$Y$12+17654</f>
        <v>4938058.0974404</v>
      </c>
      <c r="G66" s="23">
        <f t="shared" si="14"/>
        <v>576801.0974404002</v>
      </c>
    </row>
    <row r="67" spans="1:7" ht="15.5">
      <c r="A67" s="20">
        <v>90</v>
      </c>
      <c r="B67" s="20">
        <v>2027</v>
      </c>
      <c r="C67" s="20" t="s">
        <v>89</v>
      </c>
      <c r="D67" s="36" t="s">
        <v>65</v>
      </c>
      <c r="E67" s="23">
        <v>1298010</v>
      </c>
      <c r="F67" s="23">
        <f>E67+($Z$12+$AA$12+$AB$12)</f>
        <v>1499544.3325596</v>
      </c>
      <c r="G67" s="23">
        <f t="shared" si="14"/>
        <v>201534.3325596</v>
      </c>
    </row>
    <row r="68" spans="1:7" ht="15.5">
      <c r="A68" s="20">
        <v>90</v>
      </c>
      <c r="B68" s="20">
        <v>2027</v>
      </c>
      <c r="C68" s="20" t="s">
        <v>89</v>
      </c>
      <c r="D68" s="21" t="s">
        <v>56</v>
      </c>
      <c r="E68" s="23">
        <v>8828094</v>
      </c>
      <c r="F68" s="23">
        <f>E68+26000</f>
        <v>8854094</v>
      </c>
      <c r="G68" s="23">
        <f t="shared" si="14"/>
        <v>26000</v>
      </c>
    </row>
    <row r="69" spans="1:7" ht="15.5">
      <c r="A69" s="20">
        <v>90</v>
      </c>
      <c r="B69" s="20">
        <v>2027</v>
      </c>
      <c r="C69" s="20" t="s">
        <v>89</v>
      </c>
      <c r="D69" s="21" t="s">
        <v>57</v>
      </c>
      <c r="E69" s="23">
        <v>84500</v>
      </c>
      <c r="F69" s="23">
        <f>E69+60000</f>
        <v>144500</v>
      </c>
      <c r="G69" s="23">
        <f t="shared" si="14"/>
        <v>60000</v>
      </c>
    </row>
    <row r="70" spans="5:7" ht="15.5">
      <c r="E70" s="173" t="s">
        <v>25</v>
      </c>
      <c r="F70" s="173"/>
      <c r="G70" s="17">
        <f>SUM(G38:G69)</f>
        <v>-1.1641532182693481E-09</v>
      </c>
    </row>
  </sheetData>
  <mergeCells count="8">
    <mergeCell ref="V4:Y4"/>
    <mergeCell ref="Z4:AC4"/>
    <mergeCell ref="E70:F70"/>
    <mergeCell ref="A19:C19"/>
    <mergeCell ref="E19:G19"/>
    <mergeCell ref="J4:M4"/>
    <mergeCell ref="N4:Q4"/>
    <mergeCell ref="R4:U4"/>
  </mergeCell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 topLeftCell="A1">
      <selection activeCell="D30" sqref="D30"/>
    </sheetView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28.421875" style="0" customWidth="1"/>
    <col min="4" max="4" width="75.28125" style="0" bestFit="1" customWidth="1"/>
    <col min="5" max="5" width="13.421875" style="0" bestFit="1" customWidth="1"/>
    <col min="6" max="7" width="14.140625" style="0" customWidth="1"/>
    <col min="8" max="8" width="12.421875" style="0" bestFit="1" customWidth="1"/>
  </cols>
  <sheetData>
    <row r="1" spans="1:8" ht="17.5">
      <c r="A1" s="161" t="s">
        <v>182</v>
      </c>
      <c r="B1" s="129"/>
      <c r="C1" s="129"/>
      <c r="D1" s="129"/>
      <c r="E1" s="130"/>
      <c r="F1" s="130"/>
      <c r="G1" s="130"/>
      <c r="H1" s="16"/>
    </row>
    <row r="2" spans="1:8" ht="18">
      <c r="A2" s="128" t="s">
        <v>73</v>
      </c>
      <c r="B2" s="129"/>
      <c r="C2" s="129"/>
      <c r="D2" s="129"/>
      <c r="E2" s="130"/>
      <c r="F2" s="130"/>
      <c r="G2" s="130"/>
      <c r="H2" s="16"/>
    </row>
    <row r="3" spans="1:8" ht="15.5">
      <c r="A3" s="131" t="s">
        <v>1</v>
      </c>
      <c r="B3" s="131" t="s">
        <v>2</v>
      </c>
      <c r="C3" s="132" t="s">
        <v>3</v>
      </c>
      <c r="D3" s="133"/>
      <c r="E3" s="134"/>
      <c r="F3" s="135"/>
      <c r="G3" s="135"/>
      <c r="H3" s="16"/>
    </row>
    <row r="4" spans="1:8" ht="15.5">
      <c r="A4" s="131" t="s">
        <v>4</v>
      </c>
      <c r="B4" s="131" t="s">
        <v>5</v>
      </c>
      <c r="C4" s="132" t="s">
        <v>6</v>
      </c>
      <c r="D4" s="132" t="s">
        <v>90</v>
      </c>
      <c r="E4" s="136" t="s">
        <v>9</v>
      </c>
      <c r="F4" s="136" t="s">
        <v>10</v>
      </c>
      <c r="G4" s="136" t="s">
        <v>11</v>
      </c>
      <c r="H4" s="16"/>
    </row>
    <row r="5" spans="1:8" ht="15.5">
      <c r="A5" s="137">
        <v>26</v>
      </c>
      <c r="B5" s="137" t="s">
        <v>12</v>
      </c>
      <c r="C5" s="138"/>
      <c r="D5" s="139" t="s">
        <v>91</v>
      </c>
      <c r="E5" s="140">
        <v>-15000000</v>
      </c>
      <c r="F5" s="140">
        <f>E5-'[3]Cap'!G16</f>
        <v>-15051211</v>
      </c>
      <c r="G5" s="140">
        <f>F5-E5</f>
        <v>-51211</v>
      </c>
      <c r="H5" s="16"/>
    </row>
    <row r="6" spans="1:8" ht="15.5">
      <c r="A6" s="141"/>
      <c r="B6" s="141"/>
      <c r="C6" s="141"/>
      <c r="D6" s="141"/>
      <c r="E6" s="135"/>
      <c r="F6" s="142" t="s">
        <v>17</v>
      </c>
      <c r="G6" s="143">
        <f>SUM(G5:G5)</f>
        <v>-51211</v>
      </c>
      <c r="H6" s="16"/>
    </row>
    <row r="7" spans="1:8" ht="15">
      <c r="A7" s="134"/>
      <c r="B7" s="134"/>
      <c r="C7" s="134"/>
      <c r="D7" s="134"/>
      <c r="E7" s="134"/>
      <c r="F7" s="134"/>
      <c r="G7" s="134"/>
      <c r="H7" s="16"/>
    </row>
    <row r="8" spans="1:8" ht="15">
      <c r="A8" s="134"/>
      <c r="B8" s="134"/>
      <c r="C8" s="134"/>
      <c r="D8" s="134"/>
      <c r="E8" s="134"/>
      <c r="F8" s="134"/>
      <c r="G8" s="134"/>
      <c r="H8" s="16"/>
    </row>
    <row r="9" spans="1:8" ht="15.5">
      <c r="A9" s="162" t="s">
        <v>1</v>
      </c>
      <c r="B9" s="163"/>
      <c r="C9" s="141"/>
      <c r="D9" s="134"/>
      <c r="E9" s="135"/>
      <c r="F9" s="141"/>
      <c r="G9" s="141"/>
      <c r="H9" s="17"/>
    </row>
    <row r="10" spans="1:7" ht="15">
      <c r="A10" s="162" t="s">
        <v>4</v>
      </c>
      <c r="B10" s="164" t="s">
        <v>19</v>
      </c>
      <c r="C10" s="164" t="s">
        <v>20</v>
      </c>
      <c r="D10" s="164" t="s">
        <v>21</v>
      </c>
      <c r="E10" s="165" t="s">
        <v>9</v>
      </c>
      <c r="F10" s="162" t="s">
        <v>10</v>
      </c>
      <c r="G10" s="162" t="s">
        <v>22</v>
      </c>
    </row>
    <row r="11" spans="1:7" ht="15.5">
      <c r="A11" s="137">
        <v>26</v>
      </c>
      <c r="B11" s="137">
        <v>2024</v>
      </c>
      <c r="C11" s="137" t="s">
        <v>92</v>
      </c>
      <c r="D11" s="139" t="s">
        <v>91</v>
      </c>
      <c r="E11" s="140">
        <v>-10000000</v>
      </c>
      <c r="F11" s="140">
        <f>E11</f>
        <v>-10000000</v>
      </c>
      <c r="G11" s="140">
        <f>F11-E11</f>
        <v>0</v>
      </c>
    </row>
    <row r="12" spans="1:7" ht="15.5">
      <c r="A12" s="137">
        <v>26</v>
      </c>
      <c r="B12" s="137">
        <v>2025</v>
      </c>
      <c r="C12" s="137" t="s">
        <v>92</v>
      </c>
      <c r="D12" s="139" t="s">
        <v>91</v>
      </c>
      <c r="E12" s="140">
        <v>-5000000</v>
      </c>
      <c r="F12" s="140">
        <f aca="true" t="shared" si="0" ref="F12:F14">E12</f>
        <v>-5000000</v>
      </c>
      <c r="G12" s="140">
        <f aca="true" t="shared" si="1" ref="G12:G14">F12-E12</f>
        <v>0</v>
      </c>
    </row>
    <row r="13" spans="1:7" ht="15.5">
      <c r="A13" s="137">
        <v>26</v>
      </c>
      <c r="B13" s="137">
        <v>2026</v>
      </c>
      <c r="C13" s="137" t="s">
        <v>92</v>
      </c>
      <c r="D13" s="139" t="s">
        <v>91</v>
      </c>
      <c r="E13" s="140">
        <v>-3000000</v>
      </c>
      <c r="F13" s="140">
        <f t="shared" si="0"/>
        <v>-3000000</v>
      </c>
      <c r="G13" s="140">
        <f t="shared" si="1"/>
        <v>0</v>
      </c>
    </row>
    <row r="14" spans="1:7" ht="15.5">
      <c r="A14" s="137">
        <v>26</v>
      </c>
      <c r="B14" s="137">
        <v>2027</v>
      </c>
      <c r="C14" s="137" t="s">
        <v>92</v>
      </c>
      <c r="D14" s="139" t="s">
        <v>91</v>
      </c>
      <c r="E14" s="140">
        <v>-10000000</v>
      </c>
      <c r="F14" s="140">
        <f t="shared" si="0"/>
        <v>-10000000</v>
      </c>
      <c r="G14" s="140">
        <f t="shared" si="1"/>
        <v>0</v>
      </c>
    </row>
    <row r="15" spans="1:7" ht="15.5">
      <c r="A15" s="141"/>
      <c r="B15" s="163"/>
      <c r="C15" s="141"/>
      <c r="D15" s="141"/>
      <c r="E15" s="166"/>
      <c r="F15" s="142" t="s">
        <v>25</v>
      </c>
      <c r="G15" s="135">
        <f>SUM(G11:G14)</f>
        <v>0</v>
      </c>
    </row>
  </sheetData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 topLeftCell="A1"/>
  </sheetViews>
  <sheetFormatPr defaultColWidth="9.140625" defaultRowHeight="15"/>
  <cols>
    <col min="1" max="1" width="10.140625" style="0" bestFit="1" customWidth="1"/>
    <col min="2" max="2" width="11.140625" style="0" bestFit="1" customWidth="1"/>
    <col min="3" max="3" width="28.421875" style="0" customWidth="1"/>
    <col min="4" max="4" width="71.57421875" style="0" customWidth="1"/>
    <col min="5" max="5" width="13.421875" style="0" bestFit="1" customWidth="1"/>
    <col min="6" max="7" width="14.140625" style="0" customWidth="1"/>
    <col min="8" max="8" width="12.421875" style="0" bestFit="1" customWidth="1"/>
  </cols>
  <sheetData>
    <row r="1" spans="1:8" ht="17.5">
      <c r="A1" s="28" t="s">
        <v>117</v>
      </c>
      <c r="B1" s="29"/>
      <c r="C1" s="29"/>
      <c r="D1" s="29"/>
      <c r="E1" s="30"/>
      <c r="F1" s="30"/>
      <c r="G1" s="30"/>
      <c r="H1" s="16"/>
    </row>
    <row r="2" spans="1:8" ht="18">
      <c r="A2" s="128" t="s">
        <v>116</v>
      </c>
      <c r="B2" s="129"/>
      <c r="C2" s="129"/>
      <c r="D2" s="129"/>
      <c r="E2" s="130"/>
      <c r="F2" s="130"/>
      <c r="G2" s="130"/>
      <c r="H2" s="16"/>
    </row>
    <row r="3" spans="1:8" ht="15.5">
      <c r="A3" s="131" t="s">
        <v>1</v>
      </c>
      <c r="B3" s="131" t="s">
        <v>2</v>
      </c>
      <c r="C3" s="132" t="s">
        <v>3</v>
      </c>
      <c r="D3" s="133"/>
      <c r="E3" s="134"/>
      <c r="F3" s="135"/>
      <c r="G3" s="135"/>
      <c r="H3" s="16"/>
    </row>
    <row r="4" spans="1:8" ht="15.5">
      <c r="A4" s="131" t="s">
        <v>4</v>
      </c>
      <c r="B4" s="131" t="s">
        <v>5</v>
      </c>
      <c r="C4" s="132" t="s">
        <v>6</v>
      </c>
      <c r="D4" s="132" t="s">
        <v>90</v>
      </c>
      <c r="E4" s="136" t="s">
        <v>9</v>
      </c>
      <c r="F4" s="136" t="s">
        <v>10</v>
      </c>
      <c r="G4" s="136" t="s">
        <v>11</v>
      </c>
      <c r="H4" s="16"/>
    </row>
    <row r="5" spans="1:8" ht="15.5">
      <c r="A5" s="137">
        <v>263</v>
      </c>
      <c r="B5" s="137" t="s">
        <v>12</v>
      </c>
      <c r="C5" s="138">
        <v>91108</v>
      </c>
      <c r="D5" s="139" t="s">
        <v>108</v>
      </c>
      <c r="E5" s="140">
        <v>-11594497</v>
      </c>
      <c r="F5" s="140">
        <f>E5-950000</f>
        <v>-12544497</v>
      </c>
      <c r="G5" s="140">
        <f>F5-E5</f>
        <v>-950000</v>
      </c>
      <c r="H5" s="16"/>
    </row>
    <row r="6" spans="1:8" ht="15.5">
      <c r="A6" s="141"/>
      <c r="B6" s="141"/>
      <c r="C6" s="141"/>
      <c r="D6" s="141"/>
      <c r="E6" s="135"/>
      <c r="F6" s="142" t="s">
        <v>17</v>
      </c>
      <c r="G6" s="143">
        <f>SUM(G5:G5)</f>
        <v>-950000</v>
      </c>
      <c r="H6" s="16"/>
    </row>
    <row r="7" spans="1:8" ht="15">
      <c r="A7" s="16"/>
      <c r="B7" s="16"/>
      <c r="C7" s="16"/>
      <c r="D7" s="16"/>
      <c r="E7" s="16"/>
      <c r="F7" s="16"/>
      <c r="G7" s="16"/>
      <c r="H7" s="16"/>
    </row>
  </sheetData>
  <printOptions/>
  <pageMargins left="0.7" right="0.7" top="0.75" bottom="0.75" header="0.3" footer="0.3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Price, Rea</dc:creator>
  <cp:keywords/>
  <dc:description/>
  <cp:lastModifiedBy>McDevitt, Peter</cp:lastModifiedBy>
  <cp:lastPrinted>2022-12-13T23:05:57Z</cp:lastPrinted>
  <dcterms:created xsi:type="dcterms:W3CDTF">2022-12-09T15:46:27Z</dcterms:created>
  <dcterms:modified xsi:type="dcterms:W3CDTF">2022-12-16T14:45:30Z</dcterms:modified>
  <cp:category/>
  <cp:version/>
  <cp:contentType/>
  <cp:contentStatus/>
</cp:coreProperties>
</file>